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c2c9f5ede9481689/FA/Corporate Finance DCF Case Study/"/>
    </mc:Choice>
  </mc:AlternateContent>
  <xr:revisionPtr revIDLastSave="26" documentId="8_{591F2576-D121-4EAD-B82C-40115109C9AF}" xr6:coauthVersionLast="45" xr6:coauthVersionMax="45" xr10:uidLastSave="{58A024F4-5EBE-4DD2-A8E3-5F390A7D1136}"/>
  <bookViews>
    <workbookView xWindow="-108" yWindow="-108" windowWidth="23256" windowHeight="12576" xr2:uid="{00000000-000D-0000-FFFF-FFFF00000000}"/>
  </bookViews>
  <sheets>
    <sheet name="Title" sheetId="5" r:id="rId1"/>
    <sheet name="Drivers" sheetId="2" r:id="rId2"/>
    <sheet name="Basic Model" sheetId="1" r:id="rId3"/>
    <sheet name="Advanced Model" sheetId="3" r:id="rId4"/>
    <sheet name="Alternative Answer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4" l="1"/>
  <c r="C6" i="4"/>
  <c r="C7" i="4" s="1"/>
  <c r="C9" i="4" s="1"/>
  <c r="K22" i="4"/>
  <c r="J22" i="4"/>
  <c r="I22" i="4"/>
  <c r="H22" i="4"/>
  <c r="G22" i="4"/>
  <c r="F22" i="4"/>
  <c r="E22" i="4"/>
  <c r="D22" i="4"/>
  <c r="C20" i="4"/>
  <c r="C22" i="4" l="1"/>
  <c r="D6" i="4"/>
  <c r="C8" i="4"/>
  <c r="C10" i="4" s="1"/>
  <c r="C12" i="4" s="1"/>
  <c r="C22" i="3"/>
  <c r="C44" i="1"/>
  <c r="C19" i="1"/>
  <c r="C23" i="2"/>
  <c r="C23" i="3"/>
  <c r="C11" i="3"/>
  <c r="D11" i="3" s="1"/>
  <c r="E11" i="3" s="1"/>
  <c r="F11" i="3" s="1"/>
  <c r="G11" i="3" s="1"/>
  <c r="H11" i="3" s="1"/>
  <c r="I11" i="3" s="1"/>
  <c r="J11" i="3" s="1"/>
  <c r="K11" i="3" s="1"/>
  <c r="C10" i="3"/>
  <c r="D10" i="3" s="1"/>
  <c r="E10" i="3" s="1"/>
  <c r="F10" i="3" s="1"/>
  <c r="G10" i="3" s="1"/>
  <c r="H10" i="3" s="1"/>
  <c r="I10" i="3" s="1"/>
  <c r="J10" i="3" s="1"/>
  <c r="K10" i="3" s="1"/>
  <c r="C8" i="1"/>
  <c r="C9" i="1"/>
  <c r="D9" i="1" s="1"/>
  <c r="D11" i="1" s="1"/>
  <c r="G8" i="1"/>
  <c r="H8" i="1" s="1"/>
  <c r="G9" i="1"/>
  <c r="H9" i="1" s="1"/>
  <c r="C33" i="1"/>
  <c r="C35" i="1" s="1"/>
  <c r="C34" i="1"/>
  <c r="G33" i="1"/>
  <c r="G34" i="1"/>
  <c r="C20" i="1"/>
  <c r="C45" i="1"/>
  <c r="C15" i="4" l="1"/>
  <c r="C17" i="4" s="1"/>
  <c r="C24" i="4" s="1"/>
  <c r="E6" i="4"/>
  <c r="D8" i="4"/>
  <c r="D7" i="4"/>
  <c r="D9" i="4" s="1"/>
  <c r="C11" i="4"/>
  <c r="D10" i="4"/>
  <c r="C10" i="1"/>
  <c r="C12" i="1" s="1"/>
  <c r="C12" i="3"/>
  <c r="J12" i="3"/>
  <c r="H13" i="3"/>
  <c r="H12" i="3"/>
  <c r="G13" i="3"/>
  <c r="F13" i="3"/>
  <c r="E12" i="3"/>
  <c r="D13" i="3"/>
  <c r="I13" i="3"/>
  <c r="I12" i="3"/>
  <c r="K12" i="3"/>
  <c r="G12" i="3"/>
  <c r="F12" i="3"/>
  <c r="E13" i="3"/>
  <c r="D12" i="3"/>
  <c r="C13" i="3"/>
  <c r="C15" i="3" s="1"/>
  <c r="J13" i="3"/>
  <c r="K13" i="3"/>
  <c r="C11" i="1"/>
  <c r="C13" i="1" s="1"/>
  <c r="D13" i="1" s="1"/>
  <c r="H33" i="1"/>
  <c r="C37" i="1"/>
  <c r="C21" i="1"/>
  <c r="D33" i="1"/>
  <c r="D35" i="1" s="1"/>
  <c r="I9" i="1"/>
  <c r="I34" i="1"/>
  <c r="H34" i="1"/>
  <c r="D8" i="1"/>
  <c r="D10" i="1" s="1"/>
  <c r="D34" i="1"/>
  <c r="C36" i="1"/>
  <c r="C46" i="1" s="1"/>
  <c r="E9" i="1"/>
  <c r="F9" i="1" s="1"/>
  <c r="D15" i="4" l="1"/>
  <c r="D17" i="4" s="1"/>
  <c r="D24" i="4" s="1"/>
  <c r="D11" i="4"/>
  <c r="F6" i="4"/>
  <c r="E8" i="4"/>
  <c r="E10" i="4" s="1"/>
  <c r="E7" i="4"/>
  <c r="D12" i="4"/>
  <c r="E11" i="1"/>
  <c r="E13" i="1" s="1"/>
  <c r="J24" i="3"/>
  <c r="D15" i="3"/>
  <c r="E15" i="3" s="1"/>
  <c r="F15" i="3" s="1"/>
  <c r="G15" i="3" s="1"/>
  <c r="H15" i="3" s="1"/>
  <c r="I15" i="3" s="1"/>
  <c r="J15" i="3" s="1"/>
  <c r="K15" i="3" s="1"/>
  <c r="H17" i="3"/>
  <c r="H19" i="3" s="1"/>
  <c r="H24" i="3"/>
  <c r="F17" i="3"/>
  <c r="F19" i="3" s="1"/>
  <c r="F24" i="3"/>
  <c r="G24" i="3"/>
  <c r="I24" i="3"/>
  <c r="D17" i="3"/>
  <c r="D19" i="3" s="1"/>
  <c r="D24" i="3"/>
  <c r="C14" i="3"/>
  <c r="D14" i="3" s="1"/>
  <c r="E14" i="3" s="1"/>
  <c r="F14" i="3" s="1"/>
  <c r="G14" i="3" s="1"/>
  <c r="H14" i="3" s="1"/>
  <c r="I14" i="3" s="1"/>
  <c r="J14" i="3" s="1"/>
  <c r="K14" i="3" s="1"/>
  <c r="C24" i="3"/>
  <c r="J17" i="3"/>
  <c r="J19" i="3" s="1"/>
  <c r="E17" i="3"/>
  <c r="E19" i="3" s="1"/>
  <c r="G17" i="3"/>
  <c r="G19" i="3" s="1"/>
  <c r="K17" i="3"/>
  <c r="E24" i="3"/>
  <c r="I17" i="3"/>
  <c r="I19" i="3" s="1"/>
  <c r="C17" i="3"/>
  <c r="C19" i="3" s="1"/>
  <c r="J9" i="1"/>
  <c r="J11" i="1" s="1"/>
  <c r="J34" i="1"/>
  <c r="C15" i="1"/>
  <c r="C17" i="1" s="1"/>
  <c r="C24" i="1" s="1"/>
  <c r="E8" i="1"/>
  <c r="E10" i="1" s="1"/>
  <c r="H11" i="1"/>
  <c r="I33" i="1"/>
  <c r="I8" i="1"/>
  <c r="C38" i="1"/>
  <c r="C40" i="1"/>
  <c r="C42" i="1" s="1"/>
  <c r="C49" i="1" s="1"/>
  <c r="E34" i="1"/>
  <c r="F34" i="1" s="1"/>
  <c r="D37" i="1"/>
  <c r="E33" i="1"/>
  <c r="D36" i="1"/>
  <c r="D46" i="1" s="1"/>
  <c r="F11" i="1"/>
  <c r="D15" i="1"/>
  <c r="D17" i="1" s="1"/>
  <c r="I11" i="1"/>
  <c r="G11" i="1"/>
  <c r="H26" i="3" l="1"/>
  <c r="E12" i="4"/>
  <c r="E9" i="4"/>
  <c r="E15" i="4" s="1"/>
  <c r="F8" i="4"/>
  <c r="F10" i="4" s="1"/>
  <c r="F7" i="4"/>
  <c r="G6" i="4"/>
  <c r="J26" i="3"/>
  <c r="K24" i="3"/>
  <c r="K18" i="3"/>
  <c r="K19" i="3" s="1"/>
  <c r="D26" i="3"/>
  <c r="F26" i="3"/>
  <c r="G26" i="3"/>
  <c r="E26" i="3"/>
  <c r="C26" i="3"/>
  <c r="I26" i="3"/>
  <c r="D21" i="1"/>
  <c r="D24" i="1" s="1"/>
  <c r="D12" i="1"/>
  <c r="E12" i="1" s="1"/>
  <c r="E15" i="1"/>
  <c r="E17" i="1" s="1"/>
  <c r="E21" i="1"/>
  <c r="F13" i="1"/>
  <c r="G13" i="1" s="1"/>
  <c r="H13" i="1" s="1"/>
  <c r="I13" i="1" s="1"/>
  <c r="J13" i="1" s="1"/>
  <c r="F8" i="1"/>
  <c r="G10" i="1" s="1"/>
  <c r="G21" i="1" s="1"/>
  <c r="D40" i="1"/>
  <c r="D42" i="1" s="1"/>
  <c r="D49" i="1" s="1"/>
  <c r="J8" i="1"/>
  <c r="J33" i="1"/>
  <c r="K34" i="1"/>
  <c r="K36" i="1" s="1"/>
  <c r="K9" i="1"/>
  <c r="K11" i="1" s="1"/>
  <c r="D38" i="1"/>
  <c r="F33" i="1"/>
  <c r="I35" i="1" s="1"/>
  <c r="F36" i="1"/>
  <c r="G36" i="1"/>
  <c r="H36" i="1"/>
  <c r="E35" i="1"/>
  <c r="I36" i="1"/>
  <c r="J36" i="1"/>
  <c r="E36" i="1"/>
  <c r="F12" i="4" l="1"/>
  <c r="G8" i="4"/>
  <c r="G7" i="4"/>
  <c r="H6" i="4"/>
  <c r="G10" i="4"/>
  <c r="E17" i="4"/>
  <c r="E24" i="4" s="1"/>
  <c r="E11" i="4"/>
  <c r="F9" i="4"/>
  <c r="K26" i="3"/>
  <c r="E28" i="3" s="1"/>
  <c r="E38" i="1"/>
  <c r="I10" i="1"/>
  <c r="I15" i="1" s="1"/>
  <c r="I17" i="1" s="1"/>
  <c r="G15" i="1"/>
  <c r="G17" i="1" s="1"/>
  <c r="G24" i="1" s="1"/>
  <c r="E40" i="1"/>
  <c r="E42" i="1" s="1"/>
  <c r="E46" i="1"/>
  <c r="E24" i="1"/>
  <c r="F35" i="1"/>
  <c r="H10" i="1"/>
  <c r="F10" i="1"/>
  <c r="F21" i="1" s="1"/>
  <c r="I40" i="1"/>
  <c r="I42" i="1" s="1"/>
  <c r="I46" i="1"/>
  <c r="K13" i="1"/>
  <c r="J10" i="1"/>
  <c r="K8" i="1"/>
  <c r="K10" i="1" s="1"/>
  <c r="K33" i="1"/>
  <c r="K35" i="1" s="1"/>
  <c r="J35" i="1"/>
  <c r="J46" i="1" s="1"/>
  <c r="F38" i="1"/>
  <c r="G38" i="1" s="1"/>
  <c r="H38" i="1" s="1"/>
  <c r="I38" i="1" s="1"/>
  <c r="J38" i="1" s="1"/>
  <c r="K38" i="1" s="1"/>
  <c r="G35" i="1"/>
  <c r="G46" i="1" s="1"/>
  <c r="H35" i="1"/>
  <c r="H46" i="1" s="1"/>
  <c r="E37" i="1"/>
  <c r="F15" i="4" l="1"/>
  <c r="F17" i="4" s="1"/>
  <c r="F24" i="4" s="1"/>
  <c r="G12" i="4"/>
  <c r="H28" i="3"/>
  <c r="I6" i="4"/>
  <c r="H8" i="4"/>
  <c r="H10" i="4" s="1"/>
  <c r="H7" i="4"/>
  <c r="H9" i="4" s="1"/>
  <c r="G9" i="4"/>
  <c r="F11" i="4"/>
  <c r="I21" i="1"/>
  <c r="I24" i="1" s="1"/>
  <c r="F37" i="1"/>
  <c r="E49" i="1"/>
  <c r="I49" i="1"/>
  <c r="H21" i="1"/>
  <c r="H15" i="1"/>
  <c r="H17" i="1" s="1"/>
  <c r="F40" i="1"/>
  <c r="F42" i="1" s="1"/>
  <c r="F46" i="1"/>
  <c r="K15" i="1"/>
  <c r="J15" i="1"/>
  <c r="J17" i="1" s="1"/>
  <c r="J21" i="1"/>
  <c r="K40" i="1"/>
  <c r="G40" i="1"/>
  <c r="G42" i="1" s="1"/>
  <c r="G49" i="1" s="1"/>
  <c r="F15" i="1"/>
  <c r="F17" i="1" s="1"/>
  <c r="F24" i="1" s="1"/>
  <c r="F12" i="1"/>
  <c r="G12" i="1" s="1"/>
  <c r="H12" i="1" s="1"/>
  <c r="I12" i="1" s="1"/>
  <c r="J12" i="1" s="1"/>
  <c r="K12" i="1" s="1"/>
  <c r="K16" i="1" s="1"/>
  <c r="J40" i="1"/>
  <c r="J42" i="1" s="1"/>
  <c r="J49" i="1" s="1"/>
  <c r="H40" i="1"/>
  <c r="H42" i="1" s="1"/>
  <c r="H49" i="1" s="1"/>
  <c r="G37" i="1"/>
  <c r="H37" i="1" s="1"/>
  <c r="I37" i="1" s="1"/>
  <c r="J37" i="1" s="1"/>
  <c r="K37" i="1" s="1"/>
  <c r="K46" i="1" s="1"/>
  <c r="H15" i="4" l="1"/>
  <c r="G15" i="4"/>
  <c r="G17" i="4" s="1"/>
  <c r="G24" i="4" s="1"/>
  <c r="H17" i="4"/>
  <c r="H24" i="4" s="1"/>
  <c r="J6" i="4"/>
  <c r="I8" i="4"/>
  <c r="I7" i="4"/>
  <c r="I9" i="4" s="1"/>
  <c r="G11" i="4"/>
  <c r="H11" i="4" s="1"/>
  <c r="H12" i="4"/>
  <c r="K21" i="1"/>
  <c r="K17" i="1"/>
  <c r="F49" i="1"/>
  <c r="H24" i="1"/>
  <c r="J24" i="1"/>
  <c r="K41" i="1"/>
  <c r="K42" i="1" s="1"/>
  <c r="K49" i="1" s="1"/>
  <c r="J7" i="4" l="1"/>
  <c r="J9" i="4" s="1"/>
  <c r="K6" i="4"/>
  <c r="J8" i="4"/>
  <c r="J10" i="4" s="1"/>
  <c r="I10" i="4"/>
  <c r="I12" i="4" s="1"/>
  <c r="I11" i="4"/>
  <c r="E51" i="1"/>
  <c r="K24" i="1"/>
  <c r="E26" i="1" s="1"/>
  <c r="H51" i="1"/>
  <c r="J15" i="4" l="1"/>
  <c r="J17" i="4" s="1"/>
  <c r="J24" i="4" s="1"/>
  <c r="I15" i="4"/>
  <c r="I17" i="4" s="1"/>
  <c r="I24" i="4" s="1"/>
  <c r="H26" i="1"/>
  <c r="J11" i="4"/>
  <c r="J12" i="4"/>
  <c r="K8" i="4"/>
  <c r="K10" i="4" s="1"/>
  <c r="K7" i="4"/>
  <c r="K9" i="4" s="1"/>
  <c r="K15" i="4" l="1"/>
  <c r="K11" i="4"/>
  <c r="K12" i="4"/>
  <c r="K16" i="4" l="1"/>
  <c r="K17" i="4" s="1"/>
  <c r="K24" i="4" s="1"/>
  <c r="H26" i="4" l="1"/>
  <c r="E26" i="4"/>
</calcChain>
</file>

<file path=xl/sharedStrings.xml><?xml version="1.0" encoding="utf-8"?>
<sst xmlns="http://schemas.openxmlformats.org/spreadsheetml/2006/main" count="140" uniqueCount="57">
  <si>
    <t>Brand 1</t>
  </si>
  <si>
    <t>Brand 2</t>
  </si>
  <si>
    <t># Bought</t>
  </si>
  <si>
    <t># sold at beginning of semester</t>
  </si>
  <si>
    <t>Discount Rate</t>
  </si>
  <si>
    <t>Monthly sales decrease</t>
  </si>
  <si>
    <t>Discount</t>
  </si>
  <si>
    <t>T-Shirt</t>
  </si>
  <si>
    <t>Hoodies</t>
  </si>
  <si>
    <t>Salvage Value</t>
  </si>
  <si>
    <t>Brand 2 Cost to Buy</t>
  </si>
  <si>
    <t>Brand 1 Cost to Buy</t>
  </si>
  <si>
    <t>Brand 1 Selling Price</t>
  </si>
  <si>
    <t>Brand 2 Selling Price</t>
  </si>
  <si>
    <t>Months</t>
  </si>
  <si>
    <t>January</t>
  </si>
  <si>
    <t>September</t>
  </si>
  <si>
    <t>October</t>
  </si>
  <si>
    <t>November</t>
  </si>
  <si>
    <t>December</t>
  </si>
  <si>
    <t>February</t>
  </si>
  <si>
    <t>March</t>
  </si>
  <si>
    <t>April</t>
  </si>
  <si>
    <t>May</t>
  </si>
  <si>
    <t>Shirts Sold</t>
  </si>
  <si>
    <t>Hoodies Sold</t>
  </si>
  <si>
    <t>Revenue</t>
  </si>
  <si>
    <t>Cost</t>
  </si>
  <si>
    <t>Sales Distribution (Fall)</t>
  </si>
  <si>
    <t>Sales Distribution (Spring)</t>
  </si>
  <si>
    <t>Salvage</t>
  </si>
  <si>
    <t>Shirts leftover</t>
  </si>
  <si>
    <t>Hoodies leftover</t>
  </si>
  <si>
    <t>Shirt Demand</t>
  </si>
  <si>
    <t>Hoodie Demand</t>
  </si>
  <si>
    <t>Sales</t>
  </si>
  <si>
    <t>Total Revenue</t>
  </si>
  <si>
    <t>Initial Investment</t>
  </si>
  <si>
    <t>Total Cost</t>
  </si>
  <si>
    <t>Brand: 1</t>
  </si>
  <si>
    <t>Brand: 2</t>
  </si>
  <si>
    <t>NPV</t>
  </si>
  <si>
    <t>IRR</t>
  </si>
  <si>
    <t>Embroidery Cost</t>
  </si>
  <si>
    <t>Embroidery</t>
  </si>
  <si>
    <t>Shirts given away</t>
  </si>
  <si>
    <t>Brand Specific</t>
  </si>
  <si>
    <t>T-Shirt and Hoodie Specific</t>
  </si>
  <si>
    <t>General</t>
  </si>
  <si>
    <t>Combo Box</t>
  </si>
  <si>
    <t>Beginning of Fall Semester</t>
  </si>
  <si>
    <t>Beginning of Spring Semester</t>
  </si>
  <si>
    <t>Monthly Discount Rate</t>
  </si>
  <si>
    <t>Cash Flow</t>
  </si>
  <si>
    <t>Total Apparel Sold</t>
  </si>
  <si>
    <t>Alternative Answer</t>
  </si>
  <si>
    <t>Corporate Finance DCF Case Study Answer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</si>
</sst>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theme="0"/>
      <name val="Garamond"/>
      <family val="1"/>
    </font>
    <font>
      <b/>
      <sz val="28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D6F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2" borderId="0" xfId="0" applyFont="1" applyFill="1" applyAlignment="1"/>
    <xf numFmtId="0" fontId="3" fillId="2" borderId="0" xfId="0" applyFont="1" applyFill="1" applyAlignment="1"/>
    <xf numFmtId="0" fontId="3" fillId="2" borderId="13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0" fontId="3" fillId="2" borderId="14" xfId="0" applyFont="1" applyFill="1" applyBorder="1"/>
    <xf numFmtId="9" fontId="3" fillId="2" borderId="5" xfId="0" applyNumberFormat="1" applyFont="1" applyFill="1" applyBorder="1"/>
    <xf numFmtId="9" fontId="3" fillId="2" borderId="7" xfId="0" applyNumberFormat="1" applyFont="1" applyFill="1" applyBorder="1"/>
    <xf numFmtId="9" fontId="3" fillId="2" borderId="0" xfId="0" applyNumberFormat="1" applyFont="1" applyFill="1" applyBorder="1"/>
    <xf numFmtId="9" fontId="3" fillId="2" borderId="6" xfId="0" applyNumberFormat="1" applyFont="1" applyFill="1" applyBorder="1"/>
    <xf numFmtId="164" fontId="3" fillId="2" borderId="0" xfId="1" applyNumberFormat="1" applyFont="1" applyFill="1" applyBorder="1"/>
    <xf numFmtId="164" fontId="3" fillId="2" borderId="6" xfId="1" applyNumberFormat="1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44" fontId="3" fillId="2" borderId="6" xfId="1" applyFont="1" applyFill="1" applyBorder="1"/>
    <xf numFmtId="10" fontId="3" fillId="2" borderId="6" xfId="0" applyNumberFormat="1" applyFont="1" applyFill="1" applyBorder="1"/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2" borderId="11" xfId="0" applyFont="1" applyFill="1" applyBorder="1"/>
    <xf numFmtId="0" fontId="3" fillId="2" borderId="12" xfId="0" applyFont="1" applyFill="1" applyBorder="1"/>
    <xf numFmtId="0" fontId="4" fillId="0" borderId="7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Fill="1" applyBorder="1"/>
    <xf numFmtId="0" fontId="3" fillId="0" borderId="8" xfId="0" applyFont="1" applyBorder="1"/>
    <xf numFmtId="0" fontId="3" fillId="0" borderId="0" xfId="0" applyFont="1" applyBorder="1"/>
    <xf numFmtId="0" fontId="4" fillId="0" borderId="2" xfId="0" applyFont="1" applyBorder="1"/>
    <xf numFmtId="164" fontId="3" fillId="3" borderId="1" xfId="1" applyNumberFormat="1" applyFont="1" applyFill="1" applyBorder="1"/>
    <xf numFmtId="164" fontId="3" fillId="4" borderId="1" xfId="1" applyNumberFormat="1" applyFont="1" applyFill="1" applyBorder="1"/>
    <xf numFmtId="0" fontId="4" fillId="0" borderId="8" xfId="0" applyFont="1" applyBorder="1"/>
    <xf numFmtId="0" fontId="3" fillId="0" borderId="7" xfId="0" applyFont="1" applyBorder="1"/>
    <xf numFmtId="0" fontId="3" fillId="0" borderId="15" xfId="0" applyFont="1" applyBorder="1"/>
    <xf numFmtId="0" fontId="3" fillId="0" borderId="15" xfId="0" applyFont="1" applyFill="1" applyBorder="1"/>
    <xf numFmtId="0" fontId="3" fillId="3" borderId="0" xfId="0" applyFont="1" applyFill="1" applyBorder="1"/>
    <xf numFmtId="0" fontId="3" fillId="4" borderId="0" xfId="0" applyFont="1" applyFill="1" applyBorder="1"/>
    <xf numFmtId="0" fontId="3" fillId="3" borderId="6" xfId="0" applyFont="1" applyFill="1" applyBorder="1"/>
    <xf numFmtId="0" fontId="4" fillId="0" borderId="16" xfId="0" applyFont="1" applyBorder="1"/>
    <xf numFmtId="164" fontId="3" fillId="3" borderId="8" xfId="1" applyNumberFormat="1" applyFont="1" applyFill="1" applyBorder="1"/>
    <xf numFmtId="164" fontId="3" fillId="3" borderId="0" xfId="1" applyNumberFormat="1" applyFont="1" applyFill="1" applyBorder="1"/>
    <xf numFmtId="164" fontId="3" fillId="4" borderId="0" xfId="1" applyNumberFormat="1" applyFont="1" applyFill="1" applyBorder="1"/>
    <xf numFmtId="164" fontId="3" fillId="3" borderId="6" xfId="1" applyNumberFormat="1" applyFont="1" applyFill="1" applyBorder="1"/>
    <xf numFmtId="0" fontId="4" fillId="0" borderId="17" xfId="0" applyFont="1" applyBorder="1"/>
    <xf numFmtId="164" fontId="4" fillId="3" borderId="8" xfId="1" applyNumberFormat="1" applyFont="1" applyFill="1" applyBorder="1"/>
    <xf numFmtId="0" fontId="4" fillId="0" borderId="15" xfId="0" applyFont="1" applyFill="1" applyBorder="1"/>
    <xf numFmtId="0" fontId="3" fillId="0" borderId="17" xfId="0" applyFont="1" applyBorder="1"/>
    <xf numFmtId="0" fontId="3" fillId="0" borderId="16" xfId="0" applyFont="1" applyBorder="1"/>
    <xf numFmtId="164" fontId="3" fillId="3" borderId="7" xfId="1" applyNumberFormat="1" applyFont="1" applyFill="1" applyBorder="1"/>
    <xf numFmtId="0" fontId="3" fillId="3" borderId="15" xfId="0" applyFont="1" applyFill="1" applyBorder="1"/>
    <xf numFmtId="164" fontId="3" fillId="3" borderId="17" xfId="1" applyNumberFormat="1" applyFont="1" applyFill="1" applyBorder="1"/>
    <xf numFmtId="164" fontId="3" fillId="3" borderId="15" xfId="1" applyNumberFormat="1" applyFont="1" applyFill="1" applyBorder="1"/>
    <xf numFmtId="164" fontId="4" fillId="3" borderId="17" xfId="1" applyNumberFormat="1" applyFont="1" applyFill="1" applyBorder="1"/>
    <xf numFmtId="164" fontId="3" fillId="3" borderId="16" xfId="1" applyNumberFormat="1" applyFont="1" applyFill="1" applyBorder="1"/>
    <xf numFmtId="0" fontId="3" fillId="4" borderId="15" xfId="0" applyFont="1" applyFill="1" applyBorder="1"/>
    <xf numFmtId="164" fontId="3" fillId="4" borderId="17" xfId="1" applyNumberFormat="1" applyFont="1" applyFill="1" applyBorder="1"/>
    <xf numFmtId="164" fontId="3" fillId="4" borderId="15" xfId="1" applyNumberFormat="1" applyFont="1" applyFill="1" applyBorder="1"/>
    <xf numFmtId="164" fontId="4" fillId="4" borderId="17" xfId="1" applyNumberFormat="1" applyFont="1" applyFill="1" applyBorder="1"/>
    <xf numFmtId="164" fontId="3" fillId="4" borderId="16" xfId="1" applyNumberFormat="1" applyFont="1" applyFill="1" applyBorder="1"/>
    <xf numFmtId="0" fontId="4" fillId="0" borderId="0" xfId="0" applyFont="1"/>
    <xf numFmtId="0" fontId="3" fillId="0" borderId="15" xfId="0" applyNumberFormat="1" applyFont="1" applyBorder="1"/>
    <xf numFmtId="0" fontId="3" fillId="0" borderId="13" xfId="0" applyFont="1" applyBorder="1"/>
    <xf numFmtId="0" fontId="3" fillId="0" borderId="3" xfId="0" applyFont="1" applyBorder="1"/>
    <xf numFmtId="0" fontId="3" fillId="0" borderId="14" xfId="0" applyFont="1" applyBorder="1"/>
    <xf numFmtId="164" fontId="4" fillId="0" borderId="2" xfId="0" applyNumberFormat="1" applyFont="1" applyBorder="1"/>
    <xf numFmtId="9" fontId="4" fillId="0" borderId="2" xfId="0" applyNumberFormat="1" applyFont="1" applyBorder="1"/>
    <xf numFmtId="164" fontId="4" fillId="0" borderId="2" xfId="1" applyNumberFormat="1" applyFont="1" applyBorder="1"/>
    <xf numFmtId="9" fontId="4" fillId="0" borderId="4" xfId="0" applyNumberFormat="1" applyFont="1" applyBorder="1"/>
    <xf numFmtId="0" fontId="5" fillId="5" borderId="9" xfId="0" applyFont="1" applyFill="1" applyBorder="1"/>
    <xf numFmtId="14" fontId="5" fillId="5" borderId="9" xfId="0" applyNumberFormat="1" applyFont="1" applyFill="1" applyBorder="1" applyAlignment="1">
      <alignment horizontal="right"/>
    </xf>
    <xf numFmtId="0" fontId="5" fillId="5" borderId="9" xfId="0" applyFont="1" applyFill="1" applyBorder="1" applyAlignment="1">
      <alignment horizontal="right"/>
    </xf>
    <xf numFmtId="14" fontId="5" fillId="5" borderId="12" xfId="0" applyNumberFormat="1" applyFont="1" applyFill="1" applyBorder="1" applyAlignment="1">
      <alignment horizontal="right"/>
    </xf>
    <xf numFmtId="0" fontId="5" fillId="5" borderId="17" xfId="0" applyFont="1" applyFill="1" applyBorder="1"/>
    <xf numFmtId="0" fontId="5" fillId="5" borderId="17" xfId="0" applyFont="1" applyFill="1" applyBorder="1" applyAlignment="1">
      <alignment horizontal="right"/>
    </xf>
    <xf numFmtId="0" fontId="5" fillId="5" borderId="8" xfId="0" applyFont="1" applyFill="1" applyBorder="1" applyAlignment="1">
      <alignment horizontal="right"/>
    </xf>
    <xf numFmtId="0" fontId="4" fillId="0" borderId="15" xfId="0" applyFont="1" applyBorder="1"/>
    <xf numFmtId="0" fontId="5" fillId="5" borderId="12" xfId="0" applyFont="1" applyFill="1" applyBorder="1" applyAlignment="1">
      <alignment horizontal="right"/>
    </xf>
    <xf numFmtId="0" fontId="4" fillId="0" borderId="3" xfId="0" applyFont="1" applyBorder="1"/>
    <xf numFmtId="0" fontId="4" fillId="0" borderId="18" xfId="0" applyFont="1" applyBorder="1"/>
    <xf numFmtId="14" fontId="5" fillId="5" borderId="11" xfId="0" applyNumberFormat="1" applyFont="1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  <xf numFmtId="0" fontId="4" fillId="3" borderId="17" xfId="0" applyFont="1" applyFill="1" applyBorder="1"/>
    <xf numFmtId="0" fontId="3" fillId="3" borderId="15" xfId="0" applyNumberFormat="1" applyFont="1" applyFill="1" applyBorder="1"/>
    <xf numFmtId="0" fontId="4" fillId="3" borderId="16" xfId="0" applyFont="1" applyFill="1" applyBorder="1"/>
    <xf numFmtId="0" fontId="4" fillId="3" borderId="8" xfId="0" applyFont="1" applyFill="1" applyBorder="1"/>
    <xf numFmtId="0" fontId="4" fillId="3" borderId="7" xfId="0" applyFont="1" applyFill="1" applyBorder="1"/>
    <xf numFmtId="164" fontId="4" fillId="3" borderId="19" xfId="1" applyNumberFormat="1" applyFont="1" applyFill="1" applyBorder="1"/>
    <xf numFmtId="164" fontId="4" fillId="3" borderId="20" xfId="1" applyNumberFormat="1" applyFont="1" applyFill="1" applyBorder="1"/>
    <xf numFmtId="0" fontId="3" fillId="4" borderId="6" xfId="0" applyFont="1" applyFill="1" applyBorder="1"/>
    <xf numFmtId="0" fontId="4" fillId="4" borderId="8" xfId="0" applyFont="1" applyFill="1" applyBorder="1"/>
    <xf numFmtId="0" fontId="4" fillId="4" borderId="7" xfId="0" applyFont="1" applyFill="1" applyBorder="1"/>
    <xf numFmtId="0" fontId="4" fillId="4" borderId="17" xfId="0" applyFont="1" applyFill="1" applyBorder="1"/>
    <xf numFmtId="0" fontId="4" fillId="4" borderId="16" xfId="0" applyFont="1" applyFill="1" applyBorder="1"/>
    <xf numFmtId="164" fontId="4" fillId="4" borderId="19" xfId="1" applyNumberFormat="1" applyFont="1" applyFill="1" applyBorder="1"/>
    <xf numFmtId="0" fontId="3" fillId="2" borderId="5" xfId="0" applyFont="1" applyFill="1" applyBorder="1" applyAlignment="1">
      <alignment horizontal="center"/>
    </xf>
    <xf numFmtId="0" fontId="6" fillId="0" borderId="0" xfId="0" applyFont="1"/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1D6F42"/>
      <color rgb="FF004400"/>
      <color rgb="FF003400"/>
      <color rgb="FF184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22" fmlaLink="Drivers!$C$31" fmlaRange="Drivers!$B$31:$B$32" sel="2" val="0"/>
</file>

<file path=xl/ctrlProps/ctrlProp2.xml><?xml version="1.0" encoding="utf-8"?>
<formControlPr xmlns="http://schemas.microsoft.com/office/spreadsheetml/2009/9/main" objectType="Drop" dropStyle="combo" dx="22" fmlaLink="Drivers!$C$34" fmlaRange="Drivers!$B$34:$B$35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76200</xdr:rowOff>
    </xdr:from>
    <xdr:to>
      <xdr:col>7</xdr:col>
      <xdr:colOff>251460</xdr:colOff>
      <xdr:row>9</xdr:row>
      <xdr:rowOff>51596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39A2C3-D7B8-48F9-A261-6F0F05D36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624840"/>
          <a:ext cx="3870960" cy="10726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7620</xdr:rowOff>
        </xdr:from>
        <xdr:to>
          <xdr:col>2</xdr:col>
          <xdr:colOff>7620</xdr:colOff>
          <xdr:row>4</xdr:row>
          <xdr:rowOff>22860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0</xdr:row>
          <xdr:rowOff>182880</xdr:rowOff>
        </xdr:from>
        <xdr:to>
          <xdr:col>2</xdr:col>
          <xdr:colOff>15240</xdr:colOff>
          <xdr:row>2</xdr:row>
          <xdr:rowOff>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E8D75-3088-498F-A5A2-EAB9F9B574BD}">
  <dimension ref="B12"/>
  <sheetViews>
    <sheetView showGridLines="0" tabSelected="1" workbookViewId="0">
      <selection activeCell="N15" sqref="N15"/>
    </sheetView>
  </sheetViews>
  <sheetFormatPr defaultRowHeight="14.4" x14ac:dyDescent="0.3"/>
  <sheetData>
    <row r="12" spans="2:2" ht="36" x14ac:dyDescent="0.65">
      <c r="B12" s="96" t="s">
        <v>56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91BF1-0FEA-4E6F-8D60-013F9DE69A5F}">
  <dimension ref="B3:D35"/>
  <sheetViews>
    <sheetView showGridLines="0" topLeftCell="A6" workbookViewId="0">
      <selection activeCell="F39" sqref="F39"/>
    </sheetView>
  </sheetViews>
  <sheetFormatPr defaultRowHeight="14.4" x14ac:dyDescent="0.3"/>
  <cols>
    <col min="1" max="1" width="8.88671875" style="1"/>
    <col min="2" max="2" width="29.109375" style="1" bestFit="1" customWidth="1"/>
    <col min="3" max="3" width="10.88671875" style="1" bestFit="1" customWidth="1"/>
    <col min="4" max="4" width="10.88671875" style="1" customWidth="1"/>
    <col min="5" max="16384" width="8.88671875" style="1"/>
  </cols>
  <sheetData>
    <row r="3" spans="2:4" x14ac:dyDescent="0.3">
      <c r="B3" s="97" t="s">
        <v>46</v>
      </c>
      <c r="C3" s="98"/>
      <c r="D3" s="99"/>
    </row>
    <row r="4" spans="2:4" x14ac:dyDescent="0.3">
      <c r="B4" s="5"/>
      <c r="C4" s="21" t="s">
        <v>0</v>
      </c>
      <c r="D4" s="22" t="s">
        <v>1</v>
      </c>
    </row>
    <row r="5" spans="2:4" x14ac:dyDescent="0.3">
      <c r="B5" s="8" t="s">
        <v>6</v>
      </c>
      <c r="C5" s="9">
        <v>0.15</v>
      </c>
      <c r="D5" s="10">
        <v>0.25</v>
      </c>
    </row>
    <row r="8" spans="2:4" x14ac:dyDescent="0.3">
      <c r="B8" s="97" t="s">
        <v>47</v>
      </c>
      <c r="C8" s="98"/>
      <c r="D8" s="99"/>
    </row>
    <row r="9" spans="2:4" x14ac:dyDescent="0.3">
      <c r="B9" s="5"/>
      <c r="C9" s="6" t="s">
        <v>7</v>
      </c>
      <c r="D9" s="7" t="s">
        <v>8</v>
      </c>
    </row>
    <row r="10" spans="2:4" x14ac:dyDescent="0.3">
      <c r="B10" s="5" t="s">
        <v>28</v>
      </c>
      <c r="C10" s="11">
        <v>0.8</v>
      </c>
      <c r="D10" s="12">
        <v>0.2</v>
      </c>
    </row>
    <row r="11" spans="2:4" x14ac:dyDescent="0.3">
      <c r="B11" s="5" t="s">
        <v>29</v>
      </c>
      <c r="C11" s="11">
        <v>0.6</v>
      </c>
      <c r="D11" s="12">
        <v>0.4</v>
      </c>
    </row>
    <row r="12" spans="2:4" x14ac:dyDescent="0.3">
      <c r="B12" s="5" t="s">
        <v>9</v>
      </c>
      <c r="C12" s="11">
        <v>0.5</v>
      </c>
      <c r="D12" s="12">
        <v>0.5</v>
      </c>
    </row>
    <row r="13" spans="2:4" x14ac:dyDescent="0.3">
      <c r="B13" s="5" t="s">
        <v>11</v>
      </c>
      <c r="C13" s="13">
        <v>25</v>
      </c>
      <c r="D13" s="14">
        <v>50</v>
      </c>
    </row>
    <row r="14" spans="2:4" x14ac:dyDescent="0.3">
      <c r="B14" s="5" t="s">
        <v>12</v>
      </c>
      <c r="C14" s="13">
        <v>35</v>
      </c>
      <c r="D14" s="14">
        <v>65</v>
      </c>
    </row>
    <row r="15" spans="2:4" x14ac:dyDescent="0.3">
      <c r="B15" s="5" t="s">
        <v>10</v>
      </c>
      <c r="C15" s="13">
        <v>10</v>
      </c>
      <c r="D15" s="14">
        <v>20</v>
      </c>
    </row>
    <row r="16" spans="2:4" x14ac:dyDescent="0.3">
      <c r="B16" s="5" t="s">
        <v>13</v>
      </c>
      <c r="C16" s="13">
        <v>20</v>
      </c>
      <c r="D16" s="14">
        <v>32</v>
      </c>
    </row>
    <row r="17" spans="2:4" x14ac:dyDescent="0.3">
      <c r="B17" s="8" t="s">
        <v>2</v>
      </c>
      <c r="C17" s="15">
        <v>120</v>
      </c>
      <c r="D17" s="16">
        <v>38</v>
      </c>
    </row>
    <row r="20" spans="2:4" x14ac:dyDescent="0.3">
      <c r="B20" s="97" t="s">
        <v>48</v>
      </c>
      <c r="C20" s="99"/>
    </row>
    <row r="21" spans="2:4" x14ac:dyDescent="0.3">
      <c r="B21" s="5" t="s">
        <v>43</v>
      </c>
      <c r="C21" s="17">
        <v>5</v>
      </c>
    </row>
    <row r="22" spans="2:4" x14ac:dyDescent="0.3">
      <c r="B22" s="5" t="s">
        <v>4</v>
      </c>
      <c r="C22" s="12">
        <v>7.0000000000000007E-2</v>
      </c>
    </row>
    <row r="23" spans="2:4" x14ac:dyDescent="0.3">
      <c r="B23" s="5" t="s">
        <v>52</v>
      </c>
      <c r="C23" s="18">
        <f>C22/12</f>
        <v>5.8333333333333336E-3</v>
      </c>
    </row>
    <row r="24" spans="2:4" x14ac:dyDescent="0.3">
      <c r="B24" s="5" t="s">
        <v>5</v>
      </c>
      <c r="C24" s="12">
        <v>0.1</v>
      </c>
    </row>
    <row r="25" spans="2:4" x14ac:dyDescent="0.3">
      <c r="B25" s="5" t="s">
        <v>3</v>
      </c>
      <c r="C25" s="7">
        <v>20</v>
      </c>
    </row>
    <row r="26" spans="2:4" x14ac:dyDescent="0.3">
      <c r="B26" s="5" t="s">
        <v>45</v>
      </c>
      <c r="C26" s="7">
        <v>6</v>
      </c>
    </row>
    <row r="27" spans="2:4" x14ac:dyDescent="0.3">
      <c r="B27" s="5" t="s">
        <v>50</v>
      </c>
      <c r="C27" s="19" t="s">
        <v>16</v>
      </c>
    </row>
    <row r="28" spans="2:4" x14ac:dyDescent="0.3">
      <c r="B28" s="8" t="s">
        <v>51</v>
      </c>
      <c r="C28" s="20" t="s">
        <v>15</v>
      </c>
    </row>
    <row r="30" spans="2:4" hidden="1" x14ac:dyDescent="0.3">
      <c r="B30" s="95" t="s">
        <v>49</v>
      </c>
      <c r="C30" s="95"/>
    </row>
    <row r="31" spans="2:4" hidden="1" x14ac:dyDescent="0.3">
      <c r="B31" s="2" t="s">
        <v>0</v>
      </c>
      <c r="C31" s="2">
        <v>2</v>
      </c>
    </row>
    <row r="32" spans="2:4" hidden="1" x14ac:dyDescent="0.3">
      <c r="B32" s="2" t="s">
        <v>1</v>
      </c>
      <c r="C32" s="2"/>
    </row>
    <row r="33" spans="2:3" hidden="1" x14ac:dyDescent="0.3">
      <c r="B33" s="3" t="s">
        <v>55</v>
      </c>
      <c r="C33" s="4"/>
    </row>
    <row r="34" spans="2:3" hidden="1" x14ac:dyDescent="0.3">
      <c r="B34" s="2" t="s">
        <v>0</v>
      </c>
      <c r="C34" s="2">
        <v>1</v>
      </c>
    </row>
    <row r="35" spans="2:3" hidden="1" x14ac:dyDescent="0.3">
      <c r="B35" s="2" t="s">
        <v>1</v>
      </c>
      <c r="C35" s="2"/>
    </row>
  </sheetData>
  <mergeCells count="4">
    <mergeCell ref="B30:C30"/>
    <mergeCell ref="B8:D8"/>
    <mergeCell ref="B20:C20"/>
    <mergeCell ref="B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K52"/>
  <sheetViews>
    <sheetView showGridLines="0" topLeftCell="A28" workbookViewId="0">
      <selection activeCell="C37" sqref="C37"/>
    </sheetView>
  </sheetViews>
  <sheetFormatPr defaultRowHeight="14.4" x14ac:dyDescent="0.3"/>
  <cols>
    <col min="1" max="1" width="8.88671875" style="1"/>
    <col min="2" max="2" width="16.88671875" style="1" bestFit="1" customWidth="1"/>
    <col min="3" max="11" width="14.77734375" style="1" customWidth="1"/>
    <col min="12" max="16384" width="8.88671875" style="1"/>
  </cols>
  <sheetData>
    <row r="5" spans="2:11" x14ac:dyDescent="0.3">
      <c r="B5" s="60" t="s">
        <v>39</v>
      </c>
    </row>
    <row r="7" spans="2:11" x14ac:dyDescent="0.3">
      <c r="B7" s="73" t="s">
        <v>14</v>
      </c>
      <c r="C7" s="74" t="s">
        <v>16</v>
      </c>
      <c r="D7" s="74" t="s">
        <v>17</v>
      </c>
      <c r="E7" s="74" t="s">
        <v>18</v>
      </c>
      <c r="F7" s="74" t="s">
        <v>19</v>
      </c>
      <c r="G7" s="74" t="s">
        <v>15</v>
      </c>
      <c r="H7" s="74" t="s">
        <v>20</v>
      </c>
      <c r="I7" s="74" t="s">
        <v>21</v>
      </c>
      <c r="J7" s="74" t="s">
        <v>22</v>
      </c>
      <c r="K7" s="75" t="s">
        <v>23</v>
      </c>
    </row>
    <row r="8" spans="2:11" x14ac:dyDescent="0.3">
      <c r="B8" s="47" t="s">
        <v>33</v>
      </c>
      <c r="C8" s="47">
        <f>Drivers!$C$25*Drivers!C10</f>
        <v>16</v>
      </c>
      <c r="D8" s="47">
        <f>ROUNDDOWN(C8*(1-Drivers!$C$24),0)</f>
        <v>14</v>
      </c>
      <c r="E8" s="47">
        <f>ROUNDDOWN(D8*(1-Drivers!$C$24),0)</f>
        <v>12</v>
      </c>
      <c r="F8" s="47">
        <f>ROUNDDOWN(E8*(1-Drivers!$C$24),0)</f>
        <v>10</v>
      </c>
      <c r="G8" s="47">
        <f>Drivers!C25*Drivers!C11</f>
        <v>12</v>
      </c>
      <c r="H8" s="47">
        <f>ROUNDDOWN(G8*(1-Drivers!$C$24),0)</f>
        <v>10</v>
      </c>
      <c r="I8" s="47">
        <f>ROUNDDOWN(H8*(1-Drivers!$C$24),0)</f>
        <v>9</v>
      </c>
      <c r="J8" s="47">
        <f>ROUNDDOWN(I8*(1-Drivers!$C$24),0)</f>
        <v>8</v>
      </c>
      <c r="K8" s="27">
        <f>ROUNDDOWN(J8*(1-Drivers!$C$24),0)</f>
        <v>7</v>
      </c>
    </row>
    <row r="9" spans="2:11" x14ac:dyDescent="0.3">
      <c r="B9" s="34" t="s">
        <v>34</v>
      </c>
      <c r="C9" s="34">
        <f>Drivers!$C$25*Drivers!D10</f>
        <v>4</v>
      </c>
      <c r="D9" s="34">
        <f>ROUNDDOWN(C9*(1-Drivers!$C$24),0)</f>
        <v>3</v>
      </c>
      <c r="E9" s="34">
        <f>ROUNDDOWN(D9*(1-Drivers!$C$24),0)</f>
        <v>2</v>
      </c>
      <c r="F9" s="34">
        <f>ROUNDDOWN(E9*(1-Drivers!$C$24),0)</f>
        <v>1</v>
      </c>
      <c r="G9" s="34">
        <f>Drivers!C25*Drivers!D11</f>
        <v>8</v>
      </c>
      <c r="H9" s="34">
        <f>ROUNDDOWN(G9*(1-Drivers!$C$24),0)</f>
        <v>7</v>
      </c>
      <c r="I9" s="34">
        <f>ROUNDDOWN(H9*(1-Drivers!$C$24),0)</f>
        <v>6</v>
      </c>
      <c r="J9" s="34">
        <f>ROUNDDOWN(I9*(1-Drivers!$C$24),0)</f>
        <v>5</v>
      </c>
      <c r="K9" s="25">
        <f>ROUNDDOWN(J9*(1-Drivers!$C$24),0)</f>
        <v>4</v>
      </c>
    </row>
    <row r="10" spans="2:11" x14ac:dyDescent="0.3">
      <c r="B10" s="35" t="s">
        <v>24</v>
      </c>
      <c r="C10" s="35">
        <f>IF(SUM($C8:C8)&lt;Drivers!$C$17,'Basic Model'!C8,Drivers!$C$17-SUM('Basic Model'!$C8:'Basic Model'!C8))</f>
        <v>16</v>
      </c>
      <c r="D10" s="35">
        <f>IF(SUM($C8:D8)&lt;Drivers!$C$17,'Basic Model'!D8,Drivers!$C$17-SUM('Basic Model'!$C8:'Basic Model'!C8))</f>
        <v>14</v>
      </c>
      <c r="E10" s="35">
        <f>IF(SUM($C8:E8)&lt;Drivers!$C$17,'Basic Model'!E8,Drivers!$C$17-SUM('Basic Model'!$C8:'Basic Model'!D8))</f>
        <v>12</v>
      </c>
      <c r="F10" s="35">
        <f>IF(SUM($C8:F8)&lt;Drivers!$C$17,'Basic Model'!F8,Drivers!$C$17-SUM('Basic Model'!$C8:'Basic Model'!E8))</f>
        <v>10</v>
      </c>
      <c r="G10" s="35">
        <f>IF(SUM($C8:G8)&lt;Drivers!$C$17,'Basic Model'!G8,Drivers!$C$17-SUM('Basic Model'!$C8:'Basic Model'!F8))</f>
        <v>12</v>
      </c>
      <c r="H10" s="35">
        <f>IF(SUM($C8:H8)&lt;Drivers!$C$17,'Basic Model'!H8,Drivers!$C$17-SUM('Basic Model'!$C8:'Basic Model'!G8))</f>
        <v>10</v>
      </c>
      <c r="I10" s="35">
        <f>IF(SUM($C8:I8)&lt;Drivers!$C$17,'Basic Model'!I8,Drivers!$C$17-SUM('Basic Model'!$C8:'Basic Model'!H8))</f>
        <v>9</v>
      </c>
      <c r="J10" s="35">
        <f>IF(SUM($C8:J8)&lt;Drivers!$C$17,'Basic Model'!J8,Drivers!$C$17-SUM('Basic Model'!$C8:'Basic Model'!I8))</f>
        <v>8</v>
      </c>
      <c r="K10" s="26">
        <f>IF(SUM($C8:K8)&lt;Drivers!$C$17,'Basic Model'!K8,Drivers!$C$17-SUM('Basic Model'!$C8:'Basic Model'!J8))</f>
        <v>7</v>
      </c>
    </row>
    <row r="11" spans="2:11" x14ac:dyDescent="0.3">
      <c r="B11" s="35" t="s">
        <v>25</v>
      </c>
      <c r="C11" s="35">
        <f>IF(SUM($C9:C9)&lt;Drivers!$D$17,'Basic Model'!C9,Drivers!$D$17-SUM('Basic Model'!$C9:'Basic Model'!C9))</f>
        <v>4</v>
      </c>
      <c r="D11" s="35">
        <f>IF(SUM($C9:D9)&lt;Drivers!$D$17,'Basic Model'!D9,Drivers!$D$17-SUM('Basic Model'!$C9:'Basic Model'!C9))</f>
        <v>3</v>
      </c>
      <c r="E11" s="35">
        <f>IF(SUM($C9:E9)&lt;Drivers!$D$17,'Basic Model'!E9,Drivers!$D$17-SUM('Basic Model'!$C9:'Basic Model'!D9))</f>
        <v>2</v>
      </c>
      <c r="F11" s="35">
        <f>IF(SUM($C9:F9)&lt;Drivers!$D$17,'Basic Model'!F9,Drivers!$D$17-SUM('Basic Model'!$C9:'Basic Model'!E9))</f>
        <v>1</v>
      </c>
      <c r="G11" s="35">
        <f>IF(SUM($C9:G9)&lt;Drivers!$D$17,'Basic Model'!G9,Drivers!$D$17-SUM('Basic Model'!$C9:'Basic Model'!F9))</f>
        <v>8</v>
      </c>
      <c r="H11" s="35">
        <f>IF(SUM($C9:H9)&lt;Drivers!$D$17,'Basic Model'!H9,Drivers!$D$17-SUM('Basic Model'!$C9:'Basic Model'!G9))</f>
        <v>7</v>
      </c>
      <c r="I11" s="35">
        <f>IF(SUM($C9:I9)&lt;Drivers!$D$17,'Basic Model'!I9,Drivers!$D$17-SUM('Basic Model'!$C9:'Basic Model'!H9))</f>
        <v>6</v>
      </c>
      <c r="J11" s="35">
        <f>IF(SUM($C9:J9)&lt;Drivers!$D$17,'Basic Model'!J9,Drivers!$D$17-SUM('Basic Model'!$C9:'Basic Model'!I9))</f>
        <v>5</v>
      </c>
      <c r="K11" s="26">
        <f>IF(SUM($C9:K9)&lt;Drivers!$D$17,'Basic Model'!K9,Drivers!$D$17-SUM('Basic Model'!$C9:'Basic Model'!J9))</f>
        <v>2</v>
      </c>
    </row>
    <row r="12" spans="2:11" x14ac:dyDescent="0.3">
      <c r="B12" s="34" t="s">
        <v>31</v>
      </c>
      <c r="C12" s="34">
        <f>Drivers!$C$17-'Basic Model'!C10-Drivers!$C$26</f>
        <v>98</v>
      </c>
      <c r="D12" s="34">
        <f t="shared" ref="D12:K12" si="0">C12-D10</f>
        <v>84</v>
      </c>
      <c r="E12" s="34">
        <f t="shared" si="0"/>
        <v>72</v>
      </c>
      <c r="F12" s="34">
        <f t="shared" si="0"/>
        <v>62</v>
      </c>
      <c r="G12" s="34">
        <f t="shared" si="0"/>
        <v>50</v>
      </c>
      <c r="H12" s="34">
        <f t="shared" si="0"/>
        <v>40</v>
      </c>
      <c r="I12" s="34">
        <f t="shared" si="0"/>
        <v>31</v>
      </c>
      <c r="J12" s="34">
        <f t="shared" si="0"/>
        <v>23</v>
      </c>
      <c r="K12" s="25">
        <f t="shared" si="0"/>
        <v>16</v>
      </c>
    </row>
    <row r="13" spans="2:11" x14ac:dyDescent="0.3">
      <c r="B13" s="34" t="s">
        <v>32</v>
      </c>
      <c r="C13" s="34">
        <f>Drivers!$D$17-'Basic Model'!C11</f>
        <v>34</v>
      </c>
      <c r="D13" s="34">
        <f>C13-D11</f>
        <v>31</v>
      </c>
      <c r="E13" s="34">
        <f t="shared" ref="E13:K13" si="1">D13-E11</f>
        <v>29</v>
      </c>
      <c r="F13" s="34">
        <f t="shared" si="1"/>
        <v>28</v>
      </c>
      <c r="G13" s="34">
        <f t="shared" si="1"/>
        <v>20</v>
      </c>
      <c r="H13" s="34">
        <f t="shared" si="1"/>
        <v>13</v>
      </c>
      <c r="I13" s="34">
        <f t="shared" si="1"/>
        <v>7</v>
      </c>
      <c r="J13" s="34">
        <f t="shared" si="1"/>
        <v>2</v>
      </c>
      <c r="K13" s="25">
        <f t="shared" si="1"/>
        <v>0</v>
      </c>
    </row>
    <row r="14" spans="2:11" x14ac:dyDescent="0.3">
      <c r="B14" s="34"/>
      <c r="C14" s="34"/>
      <c r="D14" s="34"/>
      <c r="E14" s="34"/>
      <c r="F14" s="34"/>
      <c r="G14" s="34"/>
      <c r="H14" s="34"/>
      <c r="I14" s="34"/>
      <c r="J14" s="34"/>
      <c r="K14" s="25"/>
    </row>
    <row r="15" spans="2:11" x14ac:dyDescent="0.3">
      <c r="B15" s="34" t="s">
        <v>35</v>
      </c>
      <c r="C15" s="34">
        <f>(C10*Drivers!$C$14)+(C11*Drivers!$D$14)</f>
        <v>820</v>
      </c>
      <c r="D15" s="34">
        <f>(D10*Drivers!$C$14)+(D11*Drivers!$D$14)</f>
        <v>685</v>
      </c>
      <c r="E15" s="34">
        <f>(E10*Drivers!$C$14)+(E11*Drivers!$D$14)</f>
        <v>550</v>
      </c>
      <c r="F15" s="34">
        <f>(F10*Drivers!$C$14)+(F11*Drivers!$D$14)</f>
        <v>415</v>
      </c>
      <c r="G15" s="34">
        <f>(G10*Drivers!$C$14)+(G11*Drivers!$D$14)</f>
        <v>940</v>
      </c>
      <c r="H15" s="34">
        <f>(H10*Drivers!$C$14)+(H11*Drivers!$D$14)</f>
        <v>805</v>
      </c>
      <c r="I15" s="34">
        <f>(I10*Drivers!$C$14)+(I11*Drivers!$D$14)</f>
        <v>705</v>
      </c>
      <c r="J15" s="34">
        <f>(J10*Drivers!$C$14)+(J11*Drivers!$D$14)</f>
        <v>605</v>
      </c>
      <c r="K15" s="25">
        <f>(K10*Drivers!$C$14)+(K11*Drivers!$D$14)</f>
        <v>375</v>
      </c>
    </row>
    <row r="16" spans="2:11" x14ac:dyDescent="0.3">
      <c r="B16" s="34" t="s">
        <v>30</v>
      </c>
      <c r="C16" s="34"/>
      <c r="D16" s="34"/>
      <c r="E16" s="34"/>
      <c r="F16" s="34"/>
      <c r="G16" s="34"/>
      <c r="H16" s="34"/>
      <c r="I16" s="34"/>
      <c r="J16" s="34"/>
      <c r="K16" s="25">
        <f>(K12*Drivers!C14*Drivers!C12)+(K13*Drivers!D14*Drivers!D12)</f>
        <v>280</v>
      </c>
    </row>
    <row r="17" spans="2:11" x14ac:dyDescent="0.3">
      <c r="B17" s="44" t="s">
        <v>36</v>
      </c>
      <c r="C17" s="44">
        <f>SUM(C15:C16)</f>
        <v>820</v>
      </c>
      <c r="D17" s="44">
        <f t="shared" ref="D17:K17" si="2">SUM(D15:D16)</f>
        <v>685</v>
      </c>
      <c r="E17" s="44">
        <f t="shared" si="2"/>
        <v>550</v>
      </c>
      <c r="F17" s="44">
        <f t="shared" si="2"/>
        <v>415</v>
      </c>
      <c r="G17" s="44">
        <f t="shared" si="2"/>
        <v>940</v>
      </c>
      <c r="H17" s="44">
        <f t="shared" si="2"/>
        <v>805</v>
      </c>
      <c r="I17" s="44">
        <f t="shared" si="2"/>
        <v>705</v>
      </c>
      <c r="J17" s="44">
        <f t="shared" si="2"/>
        <v>605</v>
      </c>
      <c r="K17" s="32">
        <f t="shared" si="2"/>
        <v>655</v>
      </c>
    </row>
    <row r="18" spans="2:11" x14ac:dyDescent="0.3">
      <c r="B18" s="34"/>
      <c r="C18" s="34"/>
      <c r="D18" s="34"/>
      <c r="E18" s="34"/>
      <c r="F18" s="34"/>
      <c r="G18" s="34"/>
      <c r="H18" s="34"/>
      <c r="I18" s="34"/>
      <c r="J18" s="34"/>
      <c r="K18" s="25"/>
    </row>
    <row r="19" spans="2:11" x14ac:dyDescent="0.3">
      <c r="B19" s="34" t="s">
        <v>44</v>
      </c>
      <c r="C19" s="61">
        <f>(Drivers!C17+Drivers!D17)*Drivers!C21</f>
        <v>790</v>
      </c>
      <c r="D19" s="34"/>
      <c r="E19" s="34"/>
      <c r="F19" s="34"/>
      <c r="G19" s="34"/>
      <c r="H19" s="34"/>
      <c r="I19" s="34"/>
      <c r="J19" s="34"/>
      <c r="K19" s="25"/>
    </row>
    <row r="20" spans="2:11" x14ac:dyDescent="0.3">
      <c r="B20" s="34" t="s">
        <v>37</v>
      </c>
      <c r="C20" s="34">
        <f>((Drivers!C17*Drivers!C13)+(Drivers!D17*Drivers!D13))*(1-Drivers!C5)</f>
        <v>4165</v>
      </c>
      <c r="D20" s="34"/>
      <c r="E20" s="34"/>
      <c r="F20" s="34"/>
      <c r="G20" s="34"/>
      <c r="H20" s="34"/>
      <c r="I20" s="34"/>
      <c r="J20" s="34"/>
      <c r="K20" s="25"/>
    </row>
    <row r="21" spans="2:11" x14ac:dyDescent="0.3">
      <c r="B21" s="44" t="s">
        <v>38</v>
      </c>
      <c r="C21" s="44">
        <f>SUM(C19:C20)</f>
        <v>4955</v>
      </c>
      <c r="D21" s="44">
        <f t="shared" ref="D21:K21" si="3">SUM(D19:D20)</f>
        <v>0</v>
      </c>
      <c r="E21" s="44">
        <f t="shared" si="3"/>
        <v>0</v>
      </c>
      <c r="F21" s="44">
        <f t="shared" si="3"/>
        <v>0</v>
      </c>
      <c r="G21" s="44">
        <f t="shared" si="3"/>
        <v>0</v>
      </c>
      <c r="H21" s="44">
        <f t="shared" si="3"/>
        <v>0</v>
      </c>
      <c r="I21" s="44">
        <f t="shared" si="3"/>
        <v>0</v>
      </c>
      <c r="J21" s="44">
        <f t="shared" si="3"/>
        <v>0</v>
      </c>
      <c r="K21" s="32">
        <f t="shared" si="3"/>
        <v>0</v>
      </c>
    </row>
    <row r="22" spans="2:11" x14ac:dyDescent="0.3">
      <c r="B22" s="34"/>
      <c r="C22" s="34"/>
      <c r="D22" s="34"/>
      <c r="E22" s="34"/>
      <c r="F22" s="34"/>
      <c r="G22" s="34"/>
      <c r="H22" s="34"/>
      <c r="I22" s="34"/>
      <c r="J22" s="34"/>
      <c r="K22" s="25"/>
    </row>
    <row r="23" spans="2:11" x14ac:dyDescent="0.3">
      <c r="B23" s="34"/>
      <c r="C23" s="34"/>
      <c r="D23" s="34"/>
      <c r="E23" s="34"/>
      <c r="F23" s="34"/>
      <c r="G23" s="34"/>
      <c r="H23" s="34"/>
      <c r="I23" s="34"/>
      <c r="J23" s="34"/>
      <c r="K23" s="25"/>
    </row>
    <row r="24" spans="2:11" x14ac:dyDescent="0.3">
      <c r="B24" s="39" t="s">
        <v>53</v>
      </c>
      <c r="C24" s="39">
        <f>C17-C21</f>
        <v>-4135</v>
      </c>
      <c r="D24" s="39">
        <f t="shared" ref="D24:K24" si="4">D17-D21</f>
        <v>685</v>
      </c>
      <c r="E24" s="39">
        <f t="shared" si="4"/>
        <v>550</v>
      </c>
      <c r="F24" s="39">
        <f t="shared" si="4"/>
        <v>415</v>
      </c>
      <c r="G24" s="39">
        <f t="shared" si="4"/>
        <v>940</v>
      </c>
      <c r="H24" s="39">
        <f t="shared" si="4"/>
        <v>805</v>
      </c>
      <c r="I24" s="39">
        <f t="shared" si="4"/>
        <v>705</v>
      </c>
      <c r="J24" s="39">
        <f t="shared" si="4"/>
        <v>605</v>
      </c>
      <c r="K24" s="23">
        <f t="shared" si="4"/>
        <v>655</v>
      </c>
    </row>
    <row r="25" spans="2:11" ht="15" thickBot="1" x14ac:dyDescent="0.35">
      <c r="B25" s="62"/>
      <c r="C25" s="28"/>
      <c r="D25" s="28"/>
      <c r="E25" s="28"/>
      <c r="F25" s="28"/>
      <c r="G25" s="28"/>
      <c r="H25" s="28"/>
      <c r="I25" s="28"/>
      <c r="J25" s="28"/>
      <c r="K25" s="25"/>
    </row>
    <row r="26" spans="2:11" ht="15" thickBot="1" x14ac:dyDescent="0.35">
      <c r="B26" s="62"/>
      <c r="C26" s="28"/>
      <c r="D26" s="63" t="s">
        <v>41</v>
      </c>
      <c r="E26" s="65">
        <f>NPV(Drivers!C23,'Basic Model'!D24:K24)+'Basic Model'!C24</f>
        <v>1084.7005445650884</v>
      </c>
      <c r="F26" s="28"/>
      <c r="G26" s="63" t="s">
        <v>42</v>
      </c>
      <c r="H26" s="66">
        <f>IRR(C24:K24)</f>
        <v>6.03342529243589E-2</v>
      </c>
      <c r="I26" s="28"/>
      <c r="J26" s="28"/>
      <c r="K26" s="25"/>
    </row>
    <row r="27" spans="2:11" x14ac:dyDescent="0.3">
      <c r="B27" s="64"/>
      <c r="C27" s="24"/>
      <c r="D27" s="24"/>
      <c r="E27" s="24"/>
      <c r="F27" s="24"/>
      <c r="G27" s="24"/>
      <c r="H27" s="24"/>
      <c r="I27" s="24"/>
      <c r="J27" s="24"/>
      <c r="K27" s="33"/>
    </row>
    <row r="29" spans="2:11" x14ac:dyDescent="0.3">
      <c r="B29" s="60" t="s">
        <v>40</v>
      </c>
    </row>
    <row r="31" spans="2:11" x14ac:dyDescent="0.3">
      <c r="B31" s="69" t="s">
        <v>14</v>
      </c>
      <c r="C31" s="71" t="s">
        <v>16</v>
      </c>
      <c r="D31" s="77" t="s">
        <v>17</v>
      </c>
      <c r="E31" s="71" t="s">
        <v>18</v>
      </c>
      <c r="F31" s="71" t="s">
        <v>19</v>
      </c>
      <c r="G31" s="71" t="s">
        <v>15</v>
      </c>
      <c r="H31" s="71" t="s">
        <v>20</v>
      </c>
      <c r="I31" s="71" t="s">
        <v>21</v>
      </c>
      <c r="J31" s="71" t="s">
        <v>22</v>
      </c>
      <c r="K31" s="77" t="s">
        <v>23</v>
      </c>
    </row>
    <row r="32" spans="2:11" x14ac:dyDescent="0.3">
      <c r="B32" s="34"/>
      <c r="C32" s="50"/>
      <c r="D32" s="89"/>
      <c r="E32" s="50"/>
      <c r="F32" s="55"/>
      <c r="G32" s="50"/>
      <c r="H32" s="55"/>
      <c r="I32" s="50"/>
      <c r="J32" s="55"/>
      <c r="K32" s="38"/>
    </row>
    <row r="33" spans="2:11" x14ac:dyDescent="0.3">
      <c r="B33" s="34" t="s">
        <v>33</v>
      </c>
      <c r="C33" s="50">
        <f>Drivers!$C$25*Drivers!C10</f>
        <v>16</v>
      </c>
      <c r="D33" s="89">
        <f>ROUNDDOWN(C8*(1-Drivers!$C$24),0)</f>
        <v>14</v>
      </c>
      <c r="E33" s="50">
        <f>ROUNDDOWN(D33*(1-Drivers!$C$24),0)</f>
        <v>12</v>
      </c>
      <c r="F33" s="55">
        <f>ROUNDDOWN(E33*(1-Drivers!$C$24),0)</f>
        <v>10</v>
      </c>
      <c r="G33" s="50">
        <f>Drivers!C25*Drivers!C11</f>
        <v>12</v>
      </c>
      <c r="H33" s="55">
        <f>ROUNDDOWN(G8*(1-Drivers!$C$24),0)</f>
        <v>10</v>
      </c>
      <c r="I33" s="50">
        <f>ROUNDDOWN(H8*(1-Drivers!$C$24),0)</f>
        <v>9</v>
      </c>
      <c r="J33" s="55">
        <f>ROUNDDOWN(I8*(1-Drivers!$C$24),0)</f>
        <v>8</v>
      </c>
      <c r="K33" s="38">
        <f>ROUNDDOWN(J8*(1-Drivers!$C$24),0)</f>
        <v>7</v>
      </c>
    </row>
    <row r="34" spans="2:11" x14ac:dyDescent="0.3">
      <c r="B34" s="34" t="s">
        <v>34</v>
      </c>
      <c r="C34" s="50">
        <f>Drivers!$C$25*Drivers!D10</f>
        <v>4</v>
      </c>
      <c r="D34" s="89">
        <f>ROUNDDOWN(C34*(1-Drivers!$C$24),0)</f>
        <v>3</v>
      </c>
      <c r="E34" s="50">
        <f>ROUNDDOWN(D34*(1-Drivers!$C$24),0)</f>
        <v>2</v>
      </c>
      <c r="F34" s="55">
        <f>ROUNDDOWN(E34*(1-Drivers!$C$24),0)</f>
        <v>1</v>
      </c>
      <c r="G34" s="50">
        <f>Drivers!C25*Drivers!D11</f>
        <v>8</v>
      </c>
      <c r="H34" s="55">
        <f>ROUNDDOWN(G9*(1-Drivers!$C$24),0)</f>
        <v>7</v>
      </c>
      <c r="I34" s="50">
        <f>ROUNDDOWN(H9*(1-Drivers!$C$24),0)</f>
        <v>6</v>
      </c>
      <c r="J34" s="55">
        <f>ROUNDDOWN(I9*(1-Drivers!$C$24),0)</f>
        <v>5</v>
      </c>
      <c r="K34" s="38">
        <f>ROUNDDOWN(J9*(1-Drivers!$C$24),0)</f>
        <v>4</v>
      </c>
    </row>
    <row r="35" spans="2:11" x14ac:dyDescent="0.3">
      <c r="B35" s="35" t="s">
        <v>24</v>
      </c>
      <c r="C35" s="50">
        <f>IF(SUM($C33:C33)&lt;Drivers!$C$17,'Basic Model'!C33,Drivers!$C$17-SUM('Basic Model'!$C33:'Basic Model'!C33))</f>
        <v>16</v>
      </c>
      <c r="D35" s="89">
        <f>IF(SUM($C33:D33)&lt;Drivers!$C$17,'Basic Model'!D33,Drivers!$C$17-SUM('Basic Model'!$C33:'Basic Model'!C33))</f>
        <v>14</v>
      </c>
      <c r="E35" s="50">
        <f>IF(SUM($C33:E33)&lt;Drivers!$C$17,'Basic Model'!E33,Drivers!$C$17-SUM('Basic Model'!$C33:'Basic Model'!D33))</f>
        <v>12</v>
      </c>
      <c r="F35" s="55">
        <f>IF(SUM($C33:F33)&lt;Drivers!$C$17,'Basic Model'!F33,Drivers!$C$17-SUM('Basic Model'!$C33:'Basic Model'!E33))</f>
        <v>10</v>
      </c>
      <c r="G35" s="50">
        <f>IF(SUM($C33:G33)&lt;Drivers!$C$17,'Basic Model'!G33,Drivers!$C$17-SUM('Basic Model'!$C33:'Basic Model'!F33))</f>
        <v>12</v>
      </c>
      <c r="H35" s="55">
        <f>IF(SUM($C33:H33)&lt;Drivers!$C$17,'Basic Model'!H33,Drivers!$C$17-SUM('Basic Model'!$C33:'Basic Model'!G33))</f>
        <v>10</v>
      </c>
      <c r="I35" s="50">
        <f>IF(SUM($C33:I33)&lt;Drivers!$C$17,'Basic Model'!I33,Drivers!$C$17-SUM('Basic Model'!$C33:'Basic Model'!H33))</f>
        <v>9</v>
      </c>
      <c r="J35" s="55">
        <f>IF(SUM($C33:J33)&lt;Drivers!$C$17,'Basic Model'!J33,Drivers!$C$17-SUM('Basic Model'!$C33:'Basic Model'!I33))</f>
        <v>8</v>
      </c>
      <c r="K35" s="38">
        <f>IF(SUM($C33:K33)&lt;Drivers!$C$17,'Basic Model'!K33,Drivers!$C$17-SUM('Basic Model'!$C33:'Basic Model'!J33))</f>
        <v>7</v>
      </c>
    </row>
    <row r="36" spans="2:11" x14ac:dyDescent="0.3">
      <c r="B36" s="35" t="s">
        <v>25</v>
      </c>
      <c r="C36" s="50">
        <f>IF(SUM($C34:C34)&lt;Drivers!$D$17,'Basic Model'!C34,Drivers!$D$17-SUM('Basic Model'!$C34:'Basic Model'!C34))</f>
        <v>4</v>
      </c>
      <c r="D36" s="89">
        <f>IF(SUM($C34:D34)&lt;Drivers!$D$17,'Basic Model'!D34,Drivers!$D$17-SUM('Basic Model'!$C34:'Basic Model'!C34))</f>
        <v>3</v>
      </c>
      <c r="E36" s="50">
        <f>IF(SUM($C34:E34)&lt;Drivers!$D$17,'Basic Model'!E34,Drivers!$D$17-SUM('Basic Model'!$C34:'Basic Model'!D34))</f>
        <v>2</v>
      </c>
      <c r="F36" s="55">
        <f>IF(SUM($C34:F34)&lt;Drivers!$D$17,'Basic Model'!F34,Drivers!$D$17-SUM('Basic Model'!$C34:'Basic Model'!E34))</f>
        <v>1</v>
      </c>
      <c r="G36" s="50">
        <f>IF(SUM($C34:G34)&lt;Drivers!$D$17,'Basic Model'!G34,Drivers!$D$17-SUM('Basic Model'!$C34:'Basic Model'!F34))</f>
        <v>8</v>
      </c>
      <c r="H36" s="55">
        <f>IF(SUM($C34:H34)&lt;Drivers!$D$17,'Basic Model'!H34,Drivers!$D$17-SUM('Basic Model'!$C34:'Basic Model'!G34))</f>
        <v>7</v>
      </c>
      <c r="I36" s="50">
        <f>IF(SUM($C34:I34)&lt;Drivers!$D$17,'Basic Model'!I34,Drivers!$D$17-SUM('Basic Model'!$C34:'Basic Model'!H34))</f>
        <v>6</v>
      </c>
      <c r="J36" s="55">
        <f>IF(SUM($C34:J34)&lt;Drivers!$D$17,'Basic Model'!J34,Drivers!$D$17-SUM('Basic Model'!$C34:'Basic Model'!I34))</f>
        <v>5</v>
      </c>
      <c r="K36" s="38">
        <f>IF(SUM($C34:K34)&lt;Drivers!$D$17,'Basic Model'!K34,Drivers!$D$17-SUM('Basic Model'!$C34:'Basic Model'!J34))</f>
        <v>2</v>
      </c>
    </row>
    <row r="37" spans="2:11" x14ac:dyDescent="0.3">
      <c r="B37" s="34" t="s">
        <v>31</v>
      </c>
      <c r="C37" s="50">
        <f>Drivers!C17-'Basic Model'!C35-Drivers!C26</f>
        <v>98</v>
      </c>
      <c r="D37" s="89">
        <f t="shared" ref="D37:K37" si="5">C37-D35</f>
        <v>84</v>
      </c>
      <c r="E37" s="50">
        <f t="shared" si="5"/>
        <v>72</v>
      </c>
      <c r="F37" s="55">
        <f t="shared" si="5"/>
        <v>62</v>
      </c>
      <c r="G37" s="50">
        <f t="shared" si="5"/>
        <v>50</v>
      </c>
      <c r="H37" s="55">
        <f t="shared" si="5"/>
        <v>40</v>
      </c>
      <c r="I37" s="50">
        <f t="shared" si="5"/>
        <v>31</v>
      </c>
      <c r="J37" s="55">
        <f t="shared" si="5"/>
        <v>23</v>
      </c>
      <c r="K37" s="38">
        <f t="shared" si="5"/>
        <v>16</v>
      </c>
    </row>
    <row r="38" spans="2:11" x14ac:dyDescent="0.3">
      <c r="B38" s="34" t="s">
        <v>32</v>
      </c>
      <c r="C38" s="50">
        <f>Drivers!D17-'Basic Model'!C36</f>
        <v>34</v>
      </c>
      <c r="D38" s="89">
        <f>C38-D36</f>
        <v>31</v>
      </c>
      <c r="E38" s="50">
        <f t="shared" ref="E38:K38" si="6">D38-E36</f>
        <v>29</v>
      </c>
      <c r="F38" s="55">
        <f t="shared" si="6"/>
        <v>28</v>
      </c>
      <c r="G38" s="50">
        <f t="shared" si="6"/>
        <v>20</v>
      </c>
      <c r="H38" s="55">
        <f t="shared" si="6"/>
        <v>13</v>
      </c>
      <c r="I38" s="50">
        <f t="shared" si="6"/>
        <v>7</v>
      </c>
      <c r="J38" s="55">
        <f t="shared" si="6"/>
        <v>2</v>
      </c>
      <c r="K38" s="38">
        <f t="shared" si="6"/>
        <v>0</v>
      </c>
    </row>
    <row r="39" spans="2:11" x14ac:dyDescent="0.3">
      <c r="B39" s="34"/>
      <c r="C39" s="50"/>
      <c r="D39" s="89"/>
      <c r="E39" s="50"/>
      <c r="F39" s="55"/>
      <c r="G39" s="50"/>
      <c r="H39" s="55"/>
      <c r="I39" s="50"/>
      <c r="J39" s="55"/>
      <c r="K39" s="38"/>
    </row>
    <row r="40" spans="2:11" x14ac:dyDescent="0.3">
      <c r="B40" s="34" t="s">
        <v>35</v>
      </c>
      <c r="C40" s="50">
        <f>(C35*Drivers!$C$16)+(C36*Drivers!$D$16)</f>
        <v>448</v>
      </c>
      <c r="D40" s="89">
        <f>(D35*Drivers!$C$16)+(D36*Drivers!$D$16)</f>
        <v>376</v>
      </c>
      <c r="E40" s="50">
        <f>(E35*Drivers!$C$16)+(E36*Drivers!$D$16)</f>
        <v>304</v>
      </c>
      <c r="F40" s="55">
        <f>(F35*Drivers!$C$16)+(F36*Drivers!$D$16)</f>
        <v>232</v>
      </c>
      <c r="G40" s="50">
        <f>(G35*Drivers!$C$16)+(G36*Drivers!$D$16)</f>
        <v>496</v>
      </c>
      <c r="H40" s="55">
        <f>(H35*Drivers!$C$16)+(H36*Drivers!$D$16)</f>
        <v>424</v>
      </c>
      <c r="I40" s="50">
        <f>(I35*Drivers!$C$16)+(I36*Drivers!$D$16)</f>
        <v>372</v>
      </c>
      <c r="J40" s="55">
        <f>(J35*Drivers!$C$16)+(J36*Drivers!$D$16)</f>
        <v>320</v>
      </c>
      <c r="K40" s="38">
        <f>(K35*Drivers!$C$16)+(K36*Drivers!$D$16)</f>
        <v>204</v>
      </c>
    </row>
    <row r="41" spans="2:11" x14ac:dyDescent="0.3">
      <c r="B41" s="34" t="s">
        <v>30</v>
      </c>
      <c r="C41" s="50"/>
      <c r="D41" s="89"/>
      <c r="E41" s="50"/>
      <c r="F41" s="55"/>
      <c r="G41" s="50"/>
      <c r="H41" s="55"/>
      <c r="I41" s="50"/>
      <c r="J41" s="55"/>
      <c r="K41" s="38">
        <f>(K37*Drivers!C16*Drivers!C12)+('Basic Model'!K38*Drivers!D16*Drivers!D12)</f>
        <v>160</v>
      </c>
    </row>
    <row r="42" spans="2:11" x14ac:dyDescent="0.3">
      <c r="B42" s="44" t="s">
        <v>36</v>
      </c>
      <c r="C42" s="82">
        <f>SUM(C40:C41)</f>
        <v>448</v>
      </c>
      <c r="D42" s="90">
        <f t="shared" ref="D42" si="7">SUM(D40:D41)</f>
        <v>376</v>
      </c>
      <c r="E42" s="82">
        <f t="shared" ref="E42" si="8">SUM(E40:E41)</f>
        <v>304</v>
      </c>
      <c r="F42" s="92">
        <f t="shared" ref="F42" si="9">SUM(F40:F41)</f>
        <v>232</v>
      </c>
      <c r="G42" s="82">
        <f t="shared" ref="G42" si="10">SUM(G40:G41)</f>
        <v>496</v>
      </c>
      <c r="H42" s="92">
        <f t="shared" ref="H42" si="11">SUM(H40:H41)</f>
        <v>424</v>
      </c>
      <c r="I42" s="82">
        <f t="shared" ref="I42" si="12">SUM(I40:I41)</f>
        <v>372</v>
      </c>
      <c r="J42" s="92">
        <f t="shared" ref="J42" si="13">SUM(J40:J41)</f>
        <v>320</v>
      </c>
      <c r="K42" s="85">
        <f t="shared" ref="K42" si="14">SUM(K40:K41)</f>
        <v>364</v>
      </c>
    </row>
    <row r="43" spans="2:11" x14ac:dyDescent="0.3">
      <c r="B43" s="34"/>
      <c r="C43" s="50"/>
      <c r="D43" s="89"/>
      <c r="E43" s="50"/>
      <c r="F43" s="55"/>
      <c r="G43" s="50"/>
      <c r="H43" s="55"/>
      <c r="I43" s="50"/>
      <c r="J43" s="55"/>
      <c r="K43" s="38"/>
    </row>
    <row r="44" spans="2:11" x14ac:dyDescent="0.3">
      <c r="B44" s="34" t="s">
        <v>44</v>
      </c>
      <c r="C44" s="83">
        <f>(Drivers!C17+Drivers!D17)*Drivers!C21</f>
        <v>790</v>
      </c>
      <c r="D44" s="89"/>
      <c r="E44" s="50"/>
      <c r="F44" s="55"/>
      <c r="G44" s="50"/>
      <c r="H44" s="55"/>
      <c r="I44" s="50"/>
      <c r="J44" s="55"/>
      <c r="K44" s="38"/>
    </row>
    <row r="45" spans="2:11" x14ac:dyDescent="0.3">
      <c r="B45" s="34" t="s">
        <v>37</v>
      </c>
      <c r="C45" s="50">
        <f>((Drivers!C17*Drivers!C15)+(Drivers!D17*Drivers!D15))*(1-Drivers!D5)</f>
        <v>1470</v>
      </c>
      <c r="D45" s="89"/>
      <c r="E45" s="50"/>
      <c r="F45" s="55"/>
      <c r="G45" s="50"/>
      <c r="H45" s="55"/>
      <c r="I45" s="50"/>
      <c r="J45" s="55"/>
      <c r="K45" s="38"/>
    </row>
    <row r="46" spans="2:11" x14ac:dyDescent="0.3">
      <c r="B46" s="44" t="s">
        <v>38</v>
      </c>
      <c r="C46" s="82">
        <f>SUM(C44:C45)</f>
        <v>2260</v>
      </c>
      <c r="D46" s="90">
        <f t="shared" ref="D46:K46" si="15">SUM(D44:D45)</f>
        <v>0</v>
      </c>
      <c r="E46" s="82">
        <f t="shared" si="15"/>
        <v>0</v>
      </c>
      <c r="F46" s="92">
        <f t="shared" si="15"/>
        <v>0</v>
      </c>
      <c r="G46" s="82">
        <f t="shared" si="15"/>
        <v>0</v>
      </c>
      <c r="H46" s="92">
        <f t="shared" si="15"/>
        <v>0</v>
      </c>
      <c r="I46" s="82">
        <f t="shared" si="15"/>
        <v>0</v>
      </c>
      <c r="J46" s="92">
        <f t="shared" si="15"/>
        <v>0</v>
      </c>
      <c r="K46" s="85">
        <f t="shared" si="15"/>
        <v>0</v>
      </c>
    </row>
    <row r="47" spans="2:11" x14ac:dyDescent="0.3">
      <c r="B47" s="34"/>
      <c r="C47" s="50"/>
      <c r="D47" s="89"/>
      <c r="E47" s="50"/>
      <c r="F47" s="55"/>
      <c r="G47" s="50"/>
      <c r="H47" s="55"/>
      <c r="I47" s="50"/>
      <c r="J47" s="55"/>
      <c r="K47" s="38"/>
    </row>
    <row r="48" spans="2:11" x14ac:dyDescent="0.3">
      <c r="B48" s="34"/>
      <c r="C48" s="50"/>
      <c r="D48" s="89"/>
      <c r="E48" s="50"/>
      <c r="F48" s="55"/>
      <c r="G48" s="50"/>
      <c r="H48" s="55"/>
      <c r="I48" s="50"/>
      <c r="J48" s="55"/>
      <c r="K48" s="38"/>
    </row>
    <row r="49" spans="2:11" x14ac:dyDescent="0.3">
      <c r="B49" s="39" t="s">
        <v>53</v>
      </c>
      <c r="C49" s="84">
        <f>C42-C46</f>
        <v>-1812</v>
      </c>
      <c r="D49" s="91">
        <f t="shared" ref="D49:K49" si="16">D42-D46</f>
        <v>376</v>
      </c>
      <c r="E49" s="84">
        <f t="shared" si="16"/>
        <v>304</v>
      </c>
      <c r="F49" s="93">
        <f t="shared" si="16"/>
        <v>232</v>
      </c>
      <c r="G49" s="84">
        <f t="shared" si="16"/>
        <v>496</v>
      </c>
      <c r="H49" s="93">
        <f t="shared" si="16"/>
        <v>424</v>
      </c>
      <c r="I49" s="84">
        <f t="shared" si="16"/>
        <v>372</v>
      </c>
      <c r="J49" s="93">
        <f t="shared" si="16"/>
        <v>320</v>
      </c>
      <c r="K49" s="86">
        <f t="shared" si="16"/>
        <v>364</v>
      </c>
    </row>
    <row r="50" spans="2:11" ht="15" thickBot="1" x14ac:dyDescent="0.35">
      <c r="B50" s="62"/>
      <c r="C50" s="28"/>
      <c r="D50" s="28"/>
      <c r="E50" s="28"/>
      <c r="F50" s="28"/>
      <c r="G50" s="28"/>
      <c r="H50" s="28"/>
      <c r="I50" s="28"/>
      <c r="J50" s="28"/>
      <c r="K50" s="25"/>
    </row>
    <row r="51" spans="2:11" ht="15" thickBot="1" x14ac:dyDescent="0.35">
      <c r="B51" s="62"/>
      <c r="C51" s="28"/>
      <c r="D51" s="78" t="s">
        <v>41</v>
      </c>
      <c r="E51" s="65">
        <f>NPV(Drivers!C23,'Basic Model'!D49:K49)+'Basic Model'!C49</f>
        <v>1000.656165029583</v>
      </c>
      <c r="F51" s="28"/>
      <c r="G51" s="78" t="s">
        <v>42</v>
      </c>
      <c r="H51" s="66">
        <f>IRR(C49:K49)</f>
        <v>0.11490395184538005</v>
      </c>
      <c r="I51" s="28"/>
      <c r="J51" s="28"/>
      <c r="K51" s="25"/>
    </row>
    <row r="52" spans="2:11" x14ac:dyDescent="0.3">
      <c r="B52" s="64"/>
      <c r="C52" s="24"/>
      <c r="D52" s="24"/>
      <c r="E52" s="24"/>
      <c r="F52" s="24"/>
      <c r="G52" s="24"/>
      <c r="H52" s="24"/>
      <c r="I52" s="24"/>
      <c r="J52" s="24"/>
      <c r="K52" s="33"/>
    </row>
  </sheetData>
  <phoneticPr fontId="2" type="noConversion"/>
  <pageMargins left="0.7" right="0.7" top="0.75" bottom="0.75" header="0.3" footer="0.3"/>
  <pageSetup orientation="portrait" r:id="rId1"/>
  <ignoredErrors>
    <ignoredError sqref="G8:G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7EF82-AD51-4401-82F5-8A5ACBE612CE}">
  <dimension ref="B8:K29"/>
  <sheetViews>
    <sheetView showGridLines="0" workbookViewId="0">
      <selection activeCell="B8" sqref="B8"/>
    </sheetView>
  </sheetViews>
  <sheetFormatPr defaultRowHeight="14.4" x14ac:dyDescent="0.3"/>
  <cols>
    <col min="1" max="1" width="8.88671875" style="1"/>
    <col min="2" max="2" width="16.88671875" style="1" bestFit="1" customWidth="1"/>
    <col min="3" max="11" width="14.77734375" style="1" customWidth="1"/>
    <col min="12" max="16384" width="8.88671875" style="1"/>
  </cols>
  <sheetData>
    <row r="8" spans="2:11" x14ac:dyDescent="0.3">
      <c r="B8" s="69" t="s">
        <v>14</v>
      </c>
      <c r="C8" s="80" t="s">
        <v>16</v>
      </c>
      <c r="D8" s="81" t="s">
        <v>17</v>
      </c>
      <c r="E8" s="80" t="s">
        <v>18</v>
      </c>
      <c r="F8" s="81" t="s">
        <v>19</v>
      </c>
      <c r="G8" s="80" t="s">
        <v>15</v>
      </c>
      <c r="H8" s="81" t="s">
        <v>20</v>
      </c>
      <c r="I8" s="80" t="s">
        <v>21</v>
      </c>
      <c r="J8" s="81" t="s">
        <v>22</v>
      </c>
      <c r="K8" s="72" t="s">
        <v>23</v>
      </c>
    </row>
    <row r="9" spans="2:11" x14ac:dyDescent="0.3">
      <c r="B9" s="34"/>
      <c r="C9" s="36"/>
      <c r="D9" s="37"/>
      <c r="E9" s="36"/>
      <c r="F9" s="37"/>
      <c r="G9" s="36"/>
      <c r="H9" s="37"/>
      <c r="I9" s="36"/>
      <c r="J9" s="37"/>
      <c r="K9" s="38"/>
    </row>
    <row r="10" spans="2:11" hidden="1" x14ac:dyDescent="0.3">
      <c r="B10" s="34" t="s">
        <v>33</v>
      </c>
      <c r="C10" s="36">
        <f>ROUNDDOWN(_xlfn.IFS(C8=Drivers!$C$27,Drivers!$C$25*Drivers!$C$10,'Advanced Model'!C8=Drivers!$C$28,Drivers!$C$25*Drivers!$C$11,TRUE,'Advanced Model'!B10*(1-Drivers!$C$24)),0)</f>
        <v>16</v>
      </c>
      <c r="D10" s="37">
        <f>ROUNDDOWN(_xlfn.IFS(D8="September",Drivers!$C$25*Drivers!$C$10,'Advanced Model'!D8="January",Drivers!$C$25*Drivers!$C$11,TRUE,'Advanced Model'!C10*(1-Drivers!$C$24)),0)</f>
        <v>14</v>
      </c>
      <c r="E10" s="36">
        <f>ROUNDDOWN(_xlfn.IFS(E8="September",Drivers!$C$25*Drivers!$C$10,'Advanced Model'!E8="January",Drivers!$C$25*Drivers!$C$11,TRUE,'Advanced Model'!D10*(1-Drivers!$C$24)),0)</f>
        <v>12</v>
      </c>
      <c r="F10" s="37">
        <f>ROUNDDOWN(_xlfn.IFS(F8="September",Drivers!$C$25*Drivers!$C$10,'Advanced Model'!F8="January",Drivers!$C$25*Drivers!$C$11,TRUE,'Advanced Model'!E10*(1-Drivers!$C$24)),0)</f>
        <v>10</v>
      </c>
      <c r="G10" s="36">
        <f>ROUNDDOWN(_xlfn.IFS(G8="September",Drivers!$C$25*Drivers!$C$10,'Advanced Model'!G8="January",Drivers!$C$25*Drivers!$C$11,TRUE,'Advanced Model'!F10*(1-Drivers!$C$24)),0)</f>
        <v>12</v>
      </c>
      <c r="H10" s="37">
        <f>ROUNDDOWN(_xlfn.IFS(H8="September",Drivers!$C$25*Drivers!$C$10,'Advanced Model'!H8="January",Drivers!$C$25*Drivers!$C$11,TRUE,'Advanced Model'!G10*(1-Drivers!$C$24)),0)</f>
        <v>10</v>
      </c>
      <c r="I10" s="36">
        <f>ROUNDDOWN(_xlfn.IFS(I8="September",Drivers!$C$25*Drivers!$C$10,'Advanced Model'!I8="January",Drivers!$C$25*Drivers!$C$11,TRUE,'Advanced Model'!H10*(1-Drivers!$C$24)),0)</f>
        <v>9</v>
      </c>
      <c r="J10" s="37">
        <f>ROUNDDOWN(_xlfn.IFS(J8="September",Drivers!$C$25*Drivers!$C$10,'Advanced Model'!J8="January",Drivers!$C$25*Drivers!$C$11,TRUE,'Advanced Model'!I10*(1-Drivers!$C$24)),0)</f>
        <v>8</v>
      </c>
      <c r="K10" s="38">
        <f>ROUNDDOWN(_xlfn.IFS(K8="September",Drivers!$C$25*Drivers!$C$10,'Advanced Model'!K8="January",Drivers!$C$25*Drivers!$C$11,TRUE,'Advanced Model'!J10*(1-Drivers!$C$24)),0)</f>
        <v>7</v>
      </c>
    </row>
    <row r="11" spans="2:11" hidden="1" x14ac:dyDescent="0.3">
      <c r="B11" s="34" t="s">
        <v>34</v>
      </c>
      <c r="C11" s="36">
        <f>ROUNDDOWN(_xlfn.IFS(C8=Drivers!$C$27,Drivers!$C$25*Drivers!D10,'Advanced Model'!C8=Drivers!$C$28,Drivers!$C$25*Drivers!$D$11,TRUE,'Advanced Model'!B11*(1-Drivers!$C$24)),0)</f>
        <v>4</v>
      </c>
      <c r="D11" s="37">
        <f>ROUNDDOWN(_xlfn.IFS(D8="September",Drivers!$C$25*Drivers!E10,'Advanced Model'!D8="January",Drivers!$C$25*Drivers!$D$11,TRUE,'Advanced Model'!C11*(1-Drivers!$C$24)),0)</f>
        <v>3</v>
      </c>
      <c r="E11" s="36">
        <f>ROUNDDOWN(_xlfn.IFS(E8="September",Drivers!$C$25*Drivers!F10,'Advanced Model'!E8="January",Drivers!$C$25*Drivers!$D$11,TRUE,'Advanced Model'!D11*(1-Drivers!$C$24)),0)</f>
        <v>2</v>
      </c>
      <c r="F11" s="37">
        <f>ROUNDDOWN(_xlfn.IFS(F8="September",Drivers!$C$25*Drivers!G10,'Advanced Model'!F8="January",Drivers!$C$25*Drivers!$D$11,TRUE,'Advanced Model'!E11*(1-Drivers!$C$24)),0)</f>
        <v>1</v>
      </c>
      <c r="G11" s="36">
        <f>ROUNDDOWN(_xlfn.IFS(G8="September",Drivers!$C$25*Drivers!H10,'Advanced Model'!G8="January",Drivers!$C$25*Drivers!$D$11,TRUE,'Advanced Model'!F11*(1-Drivers!$C$24)),0)</f>
        <v>8</v>
      </c>
      <c r="H11" s="37">
        <f>ROUNDDOWN(_xlfn.IFS(H8="September",Drivers!$C$25*Drivers!I10,'Advanced Model'!H8="January",Drivers!$C$25*Drivers!$D$11,TRUE,'Advanced Model'!G11*(1-Drivers!$C$24)),0)</f>
        <v>7</v>
      </c>
      <c r="I11" s="36">
        <f>ROUNDDOWN(_xlfn.IFS(I8="September",Drivers!$C$25*Drivers!J10,'Advanced Model'!I8="January",Drivers!$C$25*Drivers!$D$11,TRUE,'Advanced Model'!H11*(1-Drivers!$C$24)),0)</f>
        <v>6</v>
      </c>
      <c r="J11" s="37">
        <f>ROUNDDOWN(_xlfn.IFS(J8="September",Drivers!$C$25*Drivers!K10,'Advanced Model'!J8="January",Drivers!$C$25*Drivers!$D$11,TRUE,'Advanced Model'!I11*(1-Drivers!$C$24)),0)</f>
        <v>5</v>
      </c>
      <c r="K11" s="38">
        <f>ROUNDDOWN(_xlfn.IFS(K8="September",Drivers!$C$25*Drivers!L10,'Advanced Model'!K8="January",Drivers!$C$25*Drivers!$D$11,TRUE,'Advanced Model'!J11*(1-Drivers!$C$24)),0)</f>
        <v>4</v>
      </c>
    </row>
    <row r="12" spans="2:11" hidden="1" x14ac:dyDescent="0.3">
      <c r="B12" s="35" t="s">
        <v>24</v>
      </c>
      <c r="C12" s="36">
        <f>IF(SUM($C10:C10)&lt;Drivers!$C$17,'Advanced Model'!C10,Drivers!$C$17-SUM('Advanced Model'!$C10:'Advanced Model'!C10))</f>
        <v>16</v>
      </c>
      <c r="D12" s="37">
        <f>IF(SUM($C10:D10)&lt;Drivers!$C$17,'Advanced Model'!D10,Drivers!$C$17-SUM('Advanced Model'!$C10:'Advanced Model'!D10))</f>
        <v>14</v>
      </c>
      <c r="E12" s="36">
        <f>IF(SUM($C10:E10)&lt;Drivers!$C$17,'Advanced Model'!E10,Drivers!$C$17-SUM('Advanced Model'!$C10:'Advanced Model'!E10))</f>
        <v>12</v>
      </c>
      <c r="F12" s="37">
        <f>IF(SUM($C10:F10)&lt;Drivers!$C$17,'Advanced Model'!F10,Drivers!$C$17-SUM('Advanced Model'!$C10:'Advanced Model'!F10))</f>
        <v>10</v>
      </c>
      <c r="G12" s="36">
        <f>IF(SUM($C10:G10)&lt;Drivers!$C$17,'Advanced Model'!G10,Drivers!$C$17-SUM('Advanced Model'!$C10:'Advanced Model'!G10))</f>
        <v>12</v>
      </c>
      <c r="H12" s="37">
        <f>IF(SUM($C10:H10)&lt;Drivers!$C$17,'Advanced Model'!H10,Drivers!$C$17-SUM('Advanced Model'!$C10:'Advanced Model'!H10))</f>
        <v>10</v>
      </c>
      <c r="I12" s="36">
        <f>IF(SUM($C10:I10)&lt;Drivers!$C$17,'Advanced Model'!I10,Drivers!$C$17-SUM('Advanced Model'!$C10:'Advanced Model'!I10))</f>
        <v>9</v>
      </c>
      <c r="J12" s="37">
        <f>IF(SUM($C10:J10)&lt;Drivers!$C$17,'Advanced Model'!J10,Drivers!$C$17-SUM('Advanced Model'!$C10:'Advanced Model'!J10))</f>
        <v>8</v>
      </c>
      <c r="K12" s="38">
        <f>IF(SUM($C10:K10)&lt;Drivers!$C$17,'Advanced Model'!K10,Drivers!$C$17-SUM('Advanced Model'!$C10:'Advanced Model'!J10))</f>
        <v>7</v>
      </c>
    </row>
    <row r="13" spans="2:11" hidden="1" x14ac:dyDescent="0.3">
      <c r="B13" s="35" t="s">
        <v>25</v>
      </c>
      <c r="C13" s="36">
        <f>IF(SUM($C11:C11)&lt;Drivers!$D$17,'Advanced Model'!C11,Drivers!$D$17-SUM('Advanced Model'!$C11:'Advanced Model'!B11))</f>
        <v>4</v>
      </c>
      <c r="D13" s="37">
        <f>IF(SUM($C11:D11)&lt;Drivers!$D$17,'Advanced Model'!D11,Drivers!$D$17-SUM('Advanced Model'!$C11:'Advanced Model'!C11))</f>
        <v>3</v>
      </c>
      <c r="E13" s="36">
        <f>IF(SUM($C11:E11)&lt;Drivers!$D$17,'Advanced Model'!E11,Drivers!$D$17-SUM('Advanced Model'!$C11:'Advanced Model'!D11))</f>
        <v>2</v>
      </c>
      <c r="F13" s="37">
        <f>IF(SUM($C11:F11)&lt;Drivers!$D$17,'Advanced Model'!F11,Drivers!$D$17-SUM('Advanced Model'!$C11:'Advanced Model'!E11))</f>
        <v>1</v>
      </c>
      <c r="G13" s="36">
        <f>IF(SUM($C11:G11)&lt;Drivers!$D$17,'Advanced Model'!G11,Drivers!$D$17-SUM('Advanced Model'!$C11:'Advanced Model'!F11))</f>
        <v>8</v>
      </c>
      <c r="H13" s="37">
        <f>IF(SUM($C11:H11)&lt;Drivers!$D$17,'Advanced Model'!H11,Drivers!$D$17-SUM('Advanced Model'!$C11:'Advanced Model'!G11))</f>
        <v>7</v>
      </c>
      <c r="I13" s="36">
        <f>IF(SUM($C11:I11)&lt;Drivers!$D$17,'Advanced Model'!I11,Drivers!$D$17-SUM('Advanced Model'!$C11:'Advanced Model'!H11))</f>
        <v>6</v>
      </c>
      <c r="J13" s="37">
        <f>IF(SUM($C11:J11)&lt;Drivers!$D$17,'Advanced Model'!J11,Drivers!$D$17-SUM('Advanced Model'!$C11:'Advanced Model'!I11))</f>
        <v>5</v>
      </c>
      <c r="K13" s="38">
        <f>IF(SUM($C11:K11)&lt;Drivers!$D$17,'Advanced Model'!K11,Drivers!$D$17-SUM('Advanced Model'!$C11:'Advanced Model'!J11))</f>
        <v>2</v>
      </c>
    </row>
    <row r="14" spans="2:11" hidden="1" x14ac:dyDescent="0.3">
      <c r="B14" s="34" t="s">
        <v>31</v>
      </c>
      <c r="C14" s="36">
        <f>Drivers!$C$17-'Advanced Model'!C12-Drivers!$C$26</f>
        <v>98</v>
      </c>
      <c r="D14" s="37">
        <f>C14-D12</f>
        <v>84</v>
      </c>
      <c r="E14" s="36">
        <f t="shared" ref="E14:K14" si="0">D14-E12</f>
        <v>72</v>
      </c>
      <c r="F14" s="37">
        <f t="shared" si="0"/>
        <v>62</v>
      </c>
      <c r="G14" s="36">
        <f t="shared" si="0"/>
        <v>50</v>
      </c>
      <c r="H14" s="37">
        <f t="shared" si="0"/>
        <v>40</v>
      </c>
      <c r="I14" s="36">
        <f t="shared" si="0"/>
        <v>31</v>
      </c>
      <c r="J14" s="37">
        <f t="shared" si="0"/>
        <v>23</v>
      </c>
      <c r="K14" s="38">
        <f t="shared" si="0"/>
        <v>16</v>
      </c>
    </row>
    <row r="15" spans="2:11" hidden="1" x14ac:dyDescent="0.3">
      <c r="B15" s="34" t="s">
        <v>32</v>
      </c>
      <c r="C15" s="36">
        <f>Drivers!$D$17-'Advanced Model'!C13</f>
        <v>34</v>
      </c>
      <c r="D15" s="37">
        <f>C15-D13</f>
        <v>31</v>
      </c>
      <c r="E15" s="36">
        <f t="shared" ref="E15:K15" si="1">D15-E13</f>
        <v>29</v>
      </c>
      <c r="F15" s="37">
        <f t="shared" si="1"/>
        <v>28</v>
      </c>
      <c r="G15" s="36">
        <f t="shared" si="1"/>
        <v>20</v>
      </c>
      <c r="H15" s="37">
        <f t="shared" si="1"/>
        <v>13</v>
      </c>
      <c r="I15" s="36">
        <f t="shared" si="1"/>
        <v>7</v>
      </c>
      <c r="J15" s="37">
        <f t="shared" si="1"/>
        <v>2</v>
      </c>
      <c r="K15" s="38">
        <f t="shared" si="1"/>
        <v>0</v>
      </c>
    </row>
    <row r="16" spans="2:11" x14ac:dyDescent="0.3">
      <c r="B16" s="76" t="s">
        <v>26</v>
      </c>
      <c r="C16" s="36"/>
      <c r="D16" s="37"/>
      <c r="E16" s="36"/>
      <c r="F16" s="37"/>
      <c r="G16" s="36"/>
      <c r="H16" s="37"/>
      <c r="I16" s="36"/>
      <c r="J16" s="37"/>
      <c r="K16" s="38"/>
    </row>
    <row r="17" spans="2:11" x14ac:dyDescent="0.3">
      <c r="B17" s="47" t="s">
        <v>35</v>
      </c>
      <c r="C17" s="30">
        <f>IF(Drivers!$C$31=1,(C12*Drivers!$C$14)+(C13*Drivers!$D$14),(C12*Drivers!$C$16)+(C13*Drivers!$D$16))</f>
        <v>448</v>
      </c>
      <c r="D17" s="31">
        <f>IF(Drivers!$C$31=1,(D12*Drivers!$C$14)+(D13*Drivers!$D$14),(D12*Drivers!$C$16)+(D13*Drivers!$D$16))</f>
        <v>376</v>
      </c>
      <c r="E17" s="30">
        <f>IF(Drivers!$C$31=1,(E12*Drivers!$C$14)+(E13*Drivers!$D$14),(E12*Drivers!$C$16)+(E13*Drivers!$D$16))</f>
        <v>304</v>
      </c>
      <c r="F17" s="31">
        <f>IF(Drivers!$C$31=1,(F12*Drivers!$C$14)+(F13*Drivers!$D$14),(F12*Drivers!$C$16)+(F13*Drivers!$D$16))</f>
        <v>232</v>
      </c>
      <c r="G17" s="30">
        <f>IF(Drivers!$C$31=1,(G12*Drivers!$C$14)+(G13*Drivers!$D$14),(G12*Drivers!$C$16)+(G13*Drivers!$D$16))</f>
        <v>496</v>
      </c>
      <c r="H17" s="31">
        <f>IF(Drivers!$C$31=1,(H12*Drivers!$C$14)+(H13*Drivers!$D$14),(H12*Drivers!$C$16)+(H13*Drivers!$D$16))</f>
        <v>424</v>
      </c>
      <c r="I17" s="30">
        <f>IF(Drivers!$C$31=1,(I12*Drivers!$C$14)+(I13*Drivers!$D$14),(I12*Drivers!$C$16)+(I13*Drivers!$D$16))</f>
        <v>372</v>
      </c>
      <c r="J17" s="31">
        <f>IF(Drivers!$C$31=1,(J12*Drivers!$C$14)+(J13*Drivers!$D$14),(J12*Drivers!$C$16)+(J13*Drivers!$D$16))</f>
        <v>320</v>
      </c>
      <c r="K17" s="40">
        <f>IF(Drivers!$C$31=1,(K12*Drivers!$C$14)+(K13*Drivers!$D$14),(K12*Drivers!$C$16)+(K13*Drivers!$D$16))</f>
        <v>204</v>
      </c>
    </row>
    <row r="18" spans="2:11" x14ac:dyDescent="0.3">
      <c r="B18" s="34" t="s">
        <v>30</v>
      </c>
      <c r="C18" s="41"/>
      <c r="D18" s="42"/>
      <c r="E18" s="41"/>
      <c r="F18" s="42"/>
      <c r="G18" s="41"/>
      <c r="H18" s="42"/>
      <c r="I18" s="41"/>
      <c r="J18" s="42"/>
      <c r="K18" s="43">
        <f>IF(Drivers!$C$31=1,(K14*Drivers!$C$14*Drivers!$C$12)+(K15*Drivers!$D$14*Drivers!$D$12),(K14*Drivers!$C$16*Drivers!$C$12)+(K15*Drivers!$D$16*Drivers!$D$12))</f>
        <v>160</v>
      </c>
    </row>
    <row r="19" spans="2:11" x14ac:dyDescent="0.3">
      <c r="B19" s="47" t="s">
        <v>36</v>
      </c>
      <c r="C19" s="30">
        <f>SUM(C17:C18)</f>
        <v>448</v>
      </c>
      <c r="D19" s="31">
        <f t="shared" ref="D19:G19" si="2">SUM(D17:D18)</f>
        <v>376</v>
      </c>
      <c r="E19" s="30">
        <f t="shared" si="2"/>
        <v>304</v>
      </c>
      <c r="F19" s="31">
        <f t="shared" si="2"/>
        <v>232</v>
      </c>
      <c r="G19" s="30">
        <f t="shared" si="2"/>
        <v>496</v>
      </c>
      <c r="H19" s="31">
        <f>SUM(H17:H18)</f>
        <v>424</v>
      </c>
      <c r="I19" s="30">
        <f>SUM(I17:I18)</f>
        <v>372</v>
      </c>
      <c r="J19" s="31">
        <f>SUM(J17:J18)</f>
        <v>320</v>
      </c>
      <c r="K19" s="40">
        <f>SUM(K17:K18)</f>
        <v>364</v>
      </c>
    </row>
    <row r="20" spans="2:11" x14ac:dyDescent="0.3">
      <c r="B20" s="34"/>
      <c r="C20" s="36"/>
      <c r="D20" s="37"/>
      <c r="E20" s="36"/>
      <c r="F20" s="37"/>
      <c r="G20" s="36"/>
      <c r="H20" s="37"/>
      <c r="I20" s="36"/>
      <c r="J20" s="37"/>
      <c r="K20" s="38"/>
    </row>
    <row r="21" spans="2:11" x14ac:dyDescent="0.3">
      <c r="B21" s="46" t="s">
        <v>27</v>
      </c>
      <c r="C21" s="36"/>
      <c r="D21" s="37"/>
      <c r="E21" s="36"/>
      <c r="F21" s="37"/>
      <c r="G21" s="36"/>
      <c r="H21" s="37"/>
      <c r="I21" s="36"/>
      <c r="J21" s="37"/>
      <c r="K21" s="38"/>
    </row>
    <row r="22" spans="2:11" x14ac:dyDescent="0.3">
      <c r="B22" s="47" t="s">
        <v>44</v>
      </c>
      <c r="C22" s="30">
        <f>(Drivers!C17+Drivers!D17)*Drivers!C21</f>
        <v>790</v>
      </c>
      <c r="D22" s="31"/>
      <c r="E22" s="30"/>
      <c r="F22" s="31"/>
      <c r="G22" s="30"/>
      <c r="H22" s="31"/>
      <c r="I22" s="30"/>
      <c r="J22" s="31"/>
      <c r="K22" s="40"/>
    </row>
    <row r="23" spans="2:11" x14ac:dyDescent="0.3">
      <c r="B23" s="34" t="s">
        <v>37</v>
      </c>
      <c r="C23" s="41">
        <f>IF(Drivers!$C$31=1,((Drivers!C17*Drivers!C13)+(Drivers!D17*Drivers!D13))*(1-Drivers!C5),((Drivers!C17*Drivers!C15)+(Drivers!D17*Drivers!D15))*(1-Drivers!D5))</f>
        <v>1470</v>
      </c>
      <c r="D23" s="42"/>
      <c r="E23" s="41"/>
      <c r="F23" s="42"/>
      <c r="G23" s="41"/>
      <c r="H23" s="42"/>
      <c r="I23" s="41"/>
      <c r="J23" s="42"/>
      <c r="K23" s="43"/>
    </row>
    <row r="24" spans="2:11" x14ac:dyDescent="0.3">
      <c r="B24" s="47" t="s">
        <v>38</v>
      </c>
      <c r="C24" s="30">
        <f>SUM(C22:C23)</f>
        <v>2260</v>
      </c>
      <c r="D24" s="31">
        <f t="shared" ref="D24:K24" si="3">SUM(D22:D23)</f>
        <v>0</v>
      </c>
      <c r="E24" s="30">
        <f t="shared" si="3"/>
        <v>0</v>
      </c>
      <c r="F24" s="31">
        <f t="shared" si="3"/>
        <v>0</v>
      </c>
      <c r="G24" s="30">
        <f t="shared" si="3"/>
        <v>0</v>
      </c>
      <c r="H24" s="31">
        <f t="shared" si="3"/>
        <v>0</v>
      </c>
      <c r="I24" s="30">
        <f t="shared" si="3"/>
        <v>0</v>
      </c>
      <c r="J24" s="31">
        <f t="shared" si="3"/>
        <v>0</v>
      </c>
      <c r="K24" s="40">
        <f t="shared" si="3"/>
        <v>0</v>
      </c>
    </row>
    <row r="25" spans="2:11" x14ac:dyDescent="0.3">
      <c r="B25" s="34"/>
      <c r="C25" s="36"/>
      <c r="D25" s="37"/>
      <c r="E25" s="36"/>
      <c r="F25" s="37"/>
      <c r="G25" s="36"/>
      <c r="H25" s="37"/>
      <c r="I25" s="36"/>
      <c r="J25" s="37"/>
      <c r="K25" s="38"/>
    </row>
    <row r="26" spans="2:11" ht="15" thickBot="1" x14ac:dyDescent="0.35">
      <c r="B26" s="79" t="s">
        <v>53</v>
      </c>
      <c r="C26" s="87">
        <f>C19-C24</f>
        <v>-1812</v>
      </c>
      <c r="D26" s="94">
        <f t="shared" ref="D26:K26" si="4">D19-D24</f>
        <v>376</v>
      </c>
      <c r="E26" s="87">
        <f t="shared" si="4"/>
        <v>304</v>
      </c>
      <c r="F26" s="94">
        <f t="shared" si="4"/>
        <v>232</v>
      </c>
      <c r="G26" s="87">
        <f t="shared" si="4"/>
        <v>496</v>
      </c>
      <c r="H26" s="94">
        <f t="shared" si="4"/>
        <v>424</v>
      </c>
      <c r="I26" s="87">
        <f t="shared" si="4"/>
        <v>372</v>
      </c>
      <c r="J26" s="94">
        <f t="shared" si="4"/>
        <v>320</v>
      </c>
      <c r="K26" s="88">
        <f t="shared" si="4"/>
        <v>364</v>
      </c>
    </row>
    <row r="27" spans="2:11" ht="15" thickBot="1" x14ac:dyDescent="0.35">
      <c r="B27" s="62"/>
      <c r="C27" s="28"/>
      <c r="D27" s="28"/>
      <c r="E27" s="28"/>
      <c r="F27" s="28"/>
      <c r="G27" s="28"/>
      <c r="H27" s="28"/>
      <c r="I27" s="28"/>
      <c r="J27" s="28"/>
      <c r="K27" s="25"/>
    </row>
    <row r="28" spans="2:11" ht="15" thickBot="1" x14ac:dyDescent="0.35">
      <c r="B28" s="62"/>
      <c r="C28" s="28"/>
      <c r="D28" s="29" t="s">
        <v>41</v>
      </c>
      <c r="E28" s="67">
        <f>NPV(Drivers!C23,'Advanced Model'!D26:K26)+'Advanced Model'!C26</f>
        <v>1000.656165029583</v>
      </c>
      <c r="F28" s="28"/>
      <c r="G28" s="29" t="s">
        <v>42</v>
      </c>
      <c r="H28" s="68">
        <f>IRR(C26:K26)</f>
        <v>0.11490395184538005</v>
      </c>
      <c r="I28" s="28"/>
      <c r="J28" s="28"/>
      <c r="K28" s="25"/>
    </row>
    <row r="29" spans="2:11" x14ac:dyDescent="0.3">
      <c r="B29" s="64"/>
      <c r="C29" s="24"/>
      <c r="D29" s="24"/>
      <c r="E29" s="24"/>
      <c r="F29" s="24"/>
      <c r="G29" s="24"/>
      <c r="H29" s="24"/>
      <c r="I29" s="24"/>
      <c r="J29" s="24"/>
      <c r="K29" s="33"/>
    </row>
  </sheetData>
  <phoneticPr fontId="2" type="noConversion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3</xdr:row>
                    <xdr:rowOff>7620</xdr:rowOff>
                  </from>
                  <to>
                    <xdr:col>2</xdr:col>
                    <xdr:colOff>7620</xdr:colOff>
                    <xdr:row>4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81329-01B5-487B-92D0-0518A4382BA8}">
  <dimension ref="B4:K26"/>
  <sheetViews>
    <sheetView showGridLines="0" workbookViewId="0">
      <selection activeCell="C13" sqref="C13:K24"/>
    </sheetView>
  </sheetViews>
  <sheetFormatPr defaultRowHeight="14.4" x14ac:dyDescent="0.3"/>
  <cols>
    <col min="1" max="1" width="8.88671875" style="1"/>
    <col min="2" max="2" width="15.77734375" style="1" customWidth="1"/>
    <col min="3" max="11" width="14.77734375" style="1" customWidth="1"/>
    <col min="12" max="16384" width="8.88671875" style="1"/>
  </cols>
  <sheetData>
    <row r="4" spans="2:11" hidden="1" x14ac:dyDescent="0.3"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</row>
    <row r="5" spans="2:11" x14ac:dyDescent="0.3">
      <c r="B5" s="69" t="s">
        <v>14</v>
      </c>
      <c r="C5" s="70" t="s">
        <v>16</v>
      </c>
      <c r="D5" s="71" t="s">
        <v>17</v>
      </c>
      <c r="E5" s="70" t="s">
        <v>18</v>
      </c>
      <c r="F5" s="71" t="s">
        <v>19</v>
      </c>
      <c r="G5" s="70" t="s">
        <v>15</v>
      </c>
      <c r="H5" s="71" t="s">
        <v>20</v>
      </c>
      <c r="I5" s="70" t="s">
        <v>21</v>
      </c>
      <c r="J5" s="71" t="s">
        <v>22</v>
      </c>
      <c r="K5" s="72" t="s">
        <v>23</v>
      </c>
    </row>
    <row r="6" spans="2:11" hidden="1" x14ac:dyDescent="0.3">
      <c r="B6" s="34" t="s">
        <v>54</v>
      </c>
      <c r="C6" s="34">
        <f>ROUNDDOWN(_xlfn.IFS(C5=Drivers!$C$27,Drivers!$C$25,'Alternative Answer'!C5=Drivers!$C$28,Drivers!$C$25,TRUE,'Alternative Answer'!B6*(1-Drivers!$C$24)),0)</f>
        <v>20</v>
      </c>
      <c r="D6" s="34">
        <f>ROUNDDOWN(_xlfn.IFS(D5=Drivers!$C$27,Drivers!$C$25,'Alternative Answer'!D5=Drivers!$C$28,Drivers!$C$25,TRUE,'Alternative Answer'!C6*(1-Drivers!$C$24)),0)</f>
        <v>18</v>
      </c>
      <c r="E6" s="34">
        <f>ROUNDDOWN(_xlfn.IFS(E5=Drivers!$C$27,Drivers!$C$25,'Alternative Answer'!E5=Drivers!$C$28,Drivers!$C$25,TRUE,'Alternative Answer'!D6*(1-Drivers!$C$24)),0)</f>
        <v>16</v>
      </c>
      <c r="F6" s="34">
        <f>ROUNDDOWN(_xlfn.IFS(F5=Drivers!$C$27,Drivers!$C$25,'Alternative Answer'!F5=Drivers!$C$28,Drivers!$C$25,TRUE,'Alternative Answer'!E6*(1-Drivers!$C$24)),0)</f>
        <v>14</v>
      </c>
      <c r="G6" s="34">
        <f>ROUNDDOWN(_xlfn.IFS(G5=Drivers!$C$27,Drivers!$C$25,'Alternative Answer'!G5=Drivers!$C$28,Drivers!$C$25,TRUE,'Alternative Answer'!F6*(1-Drivers!$C$24)),0)</f>
        <v>20</v>
      </c>
      <c r="H6" s="34">
        <f>ROUNDDOWN(_xlfn.IFS(H5=Drivers!$C$27,Drivers!$C$25,'Alternative Answer'!H5=Drivers!$C$28,Drivers!$C$25,TRUE,'Alternative Answer'!G6*(1-Drivers!$C$24)),0)</f>
        <v>18</v>
      </c>
      <c r="I6" s="34">
        <f>ROUNDDOWN(_xlfn.IFS(I5=Drivers!$C$27,Drivers!$C$25,'Alternative Answer'!I5=Drivers!$C$28,Drivers!$C$25,TRUE,'Alternative Answer'!H6*(1-Drivers!$C$24)),0)</f>
        <v>16</v>
      </c>
      <c r="J6" s="34">
        <f>ROUNDDOWN(_xlfn.IFS(J5=Drivers!$C$27,Drivers!$C$25,'Alternative Answer'!J5=Drivers!$C$28,Drivers!$C$25,TRUE,'Alternative Answer'!I6*(1-Drivers!$C$24)),0)</f>
        <v>14</v>
      </c>
      <c r="K6" s="25">
        <f>ROUNDDOWN(_xlfn.IFS(K5=Drivers!$C$27,Drivers!$C$25,'Alternative Answer'!K5=Drivers!$C$28,Drivers!$C$25,TRUE,'Alternative Answer'!J6*(1-Drivers!$C$24)),0)</f>
        <v>12</v>
      </c>
    </row>
    <row r="7" spans="2:11" hidden="1" x14ac:dyDescent="0.3">
      <c r="B7" s="34" t="s">
        <v>33</v>
      </c>
      <c r="C7" s="34">
        <f>ROUNDDOWN(IF(C4&lt;5,'Alternative Answer'!C6*Drivers!$C$10,'Alternative Answer'!C6*Drivers!$C$11),0)</f>
        <v>16</v>
      </c>
      <c r="D7" s="34">
        <f>ROUNDDOWN(IF(D4&lt;5,'Alternative Answer'!D6*Drivers!$C$10,'Alternative Answer'!D6*Drivers!$C$11),0)</f>
        <v>14</v>
      </c>
      <c r="E7" s="34">
        <f>ROUNDDOWN(IF(E4&lt;5,'Alternative Answer'!E6*Drivers!$C$10,'Alternative Answer'!E6*Drivers!$C$11),0)</f>
        <v>12</v>
      </c>
      <c r="F7" s="34">
        <f>ROUNDDOWN(IF(F4&lt;5,'Alternative Answer'!F6*Drivers!$C$10,'Alternative Answer'!F6*Drivers!$C$11),0)</f>
        <v>11</v>
      </c>
      <c r="G7" s="34">
        <f>ROUNDDOWN(IF(G4&lt;5,'Alternative Answer'!G6*Drivers!$C$10,'Alternative Answer'!G6*Drivers!$C$11),0)</f>
        <v>12</v>
      </c>
      <c r="H7" s="34">
        <f>ROUNDDOWN(IF(H4&lt;5,'Alternative Answer'!H6*Drivers!$C$10,'Alternative Answer'!H6*Drivers!$C$11),0)</f>
        <v>10</v>
      </c>
      <c r="I7" s="34">
        <f>ROUNDDOWN(IF(I4&lt;5,'Alternative Answer'!I6*Drivers!$C$10,'Alternative Answer'!I6*Drivers!$C$11),0)</f>
        <v>9</v>
      </c>
      <c r="J7" s="34">
        <f>ROUNDDOWN(IF(J4&lt;5,'Alternative Answer'!J6*Drivers!$C$10,'Alternative Answer'!J6*Drivers!$C$11),0)</f>
        <v>8</v>
      </c>
      <c r="K7" s="25">
        <f>ROUNDDOWN(IF(K4&lt;5,'Alternative Answer'!K6*Drivers!$C$10,'Alternative Answer'!K6*Drivers!$C$11),0)</f>
        <v>7</v>
      </c>
    </row>
    <row r="8" spans="2:11" hidden="1" x14ac:dyDescent="0.3">
      <c r="B8" s="34" t="s">
        <v>34</v>
      </c>
      <c r="C8" s="34">
        <f>ROUNDDOWN(IF(C4&lt;5,C6*Drivers!$D$10,'Alternative Answer'!C6*Drivers!$D$11),0)</f>
        <v>4</v>
      </c>
      <c r="D8" s="34">
        <f>ROUNDDOWN(IF(D4&lt;5,D6*Drivers!$D$10,'Alternative Answer'!D6*Drivers!$D$11),0)</f>
        <v>3</v>
      </c>
      <c r="E8" s="34">
        <f>ROUNDDOWN(IF(E4&lt;5,E6*Drivers!$D$10,'Alternative Answer'!E6*Drivers!$D$11),0)</f>
        <v>3</v>
      </c>
      <c r="F8" s="34">
        <f>ROUNDDOWN(IF(F4&lt;5,F6*Drivers!$D$10,'Alternative Answer'!F6*Drivers!$D$11),0)</f>
        <v>2</v>
      </c>
      <c r="G8" s="34">
        <f>ROUNDDOWN(IF(G4&lt;5,G6*Drivers!$D$10,'Alternative Answer'!G6*Drivers!$D$11),0)</f>
        <v>8</v>
      </c>
      <c r="H8" s="34">
        <f>ROUNDDOWN(IF(H4&lt;5,H6*Drivers!$D$10,'Alternative Answer'!H6*Drivers!$D$11),0)</f>
        <v>7</v>
      </c>
      <c r="I8" s="34">
        <f>ROUNDDOWN(IF(I4&lt;5,I6*Drivers!$D$10,'Alternative Answer'!I6*Drivers!$D$11),0)</f>
        <v>6</v>
      </c>
      <c r="J8" s="34">
        <f>ROUNDDOWN(IF(J4&lt;5,J6*Drivers!$D$10,'Alternative Answer'!J6*Drivers!$D$11),0)</f>
        <v>5</v>
      </c>
      <c r="K8" s="25">
        <f>ROUNDDOWN(IF(K4&lt;5,K6*Drivers!$D$10,'Alternative Answer'!K6*Drivers!$D$11),0)</f>
        <v>4</v>
      </c>
    </row>
    <row r="9" spans="2:11" hidden="1" x14ac:dyDescent="0.3">
      <c r="B9" s="35" t="s">
        <v>24</v>
      </c>
      <c r="C9" s="34">
        <f>IF(SUM($C7:C7)&lt;Drivers!$C$17,'Alternative Answer'!C7,Drivers!$C$17-SUM('Alternative Answer'!$C7:'Alternative Answer'!C7))</f>
        <v>16</v>
      </c>
      <c r="D9" s="34">
        <f>IF(SUM($C7:D7)&lt;Drivers!$C$17,'Alternative Answer'!D7,Drivers!$C$17-SUM('Alternative Answer'!$C7:'Alternative Answer'!D7))</f>
        <v>14</v>
      </c>
      <c r="E9" s="34">
        <f>IF(SUM($C7:E7)&lt;Drivers!$C$17,'Alternative Answer'!E7,Drivers!$C$17-SUM('Alternative Answer'!$C7:'Alternative Answer'!E7))</f>
        <v>12</v>
      </c>
      <c r="F9" s="34">
        <f>IF(SUM($C7:F7)&lt;Drivers!$C$17,'Alternative Answer'!F7,Drivers!$C$17-SUM('Alternative Answer'!$C7:'Alternative Answer'!F7))</f>
        <v>11</v>
      </c>
      <c r="G9" s="34">
        <f>IF(SUM($C7:G7)&lt;Drivers!$C$17,'Alternative Answer'!G7,Drivers!$C$17-SUM('Alternative Answer'!$C7:'Alternative Answer'!G7))</f>
        <v>12</v>
      </c>
      <c r="H9" s="34">
        <f>IF(SUM($C7:H7)&lt;Drivers!$C$17,'Alternative Answer'!H7,Drivers!$C$17-SUM('Alternative Answer'!$C7:'Alternative Answer'!H7))</f>
        <v>10</v>
      </c>
      <c r="I9" s="34">
        <f>IF(SUM($C7:I7)&lt;Drivers!$C$17,'Alternative Answer'!I7,Drivers!$C$17-SUM('Alternative Answer'!$C7:'Alternative Answer'!I7))</f>
        <v>9</v>
      </c>
      <c r="J9" s="34">
        <f>IF(SUM($C7:J7)&lt;Drivers!$C$17,'Alternative Answer'!J7,Drivers!$C$17-SUM('Alternative Answer'!$C7:'Alternative Answer'!J7))</f>
        <v>8</v>
      </c>
      <c r="K9" s="25">
        <f>IF(SUM($C7:K7)&lt;Drivers!$C$17,'Alternative Answer'!K7,Drivers!$C$17-SUM('Alternative Answer'!$C7:'Alternative Answer'!K7))</f>
        <v>7</v>
      </c>
    </row>
    <row r="10" spans="2:11" hidden="1" x14ac:dyDescent="0.3">
      <c r="B10" s="35" t="s">
        <v>25</v>
      </c>
      <c r="C10" s="34">
        <f>IF(SUM($C8:C8)&lt;Drivers!$D$17,'Alternative Answer'!C8,Drivers!$D$17-SUM('Alternative Answer'!$C8:'Alternative Answer'!B8))</f>
        <v>4</v>
      </c>
      <c r="D10" s="34">
        <f>IF(SUM($C8:D8)&lt;Drivers!$D$17,'Alternative Answer'!D8,Drivers!$D$17-SUM('Alternative Answer'!$C8:'Alternative Answer'!C8))</f>
        <v>3</v>
      </c>
      <c r="E10" s="34">
        <f>IF(SUM($C8:E8)&lt;Drivers!$D$17,'Alternative Answer'!E8,Drivers!$D$17-SUM('Alternative Answer'!$C8:'Alternative Answer'!D8))</f>
        <v>3</v>
      </c>
      <c r="F10" s="34">
        <f>IF(SUM($C8:F8)&lt;Drivers!$D$17,'Alternative Answer'!F8,Drivers!$D$17-SUM('Alternative Answer'!$C8:'Alternative Answer'!E8))</f>
        <v>2</v>
      </c>
      <c r="G10" s="34">
        <f>IF(SUM($C8:G8)&lt;Drivers!$D$17,'Alternative Answer'!G8,Drivers!$D$17-SUM('Alternative Answer'!$C8:'Alternative Answer'!F8))</f>
        <v>8</v>
      </c>
      <c r="H10" s="34">
        <f>IF(SUM($C8:H8)&lt;Drivers!$D$17,'Alternative Answer'!H8,Drivers!$D$17-SUM('Alternative Answer'!$C8:'Alternative Answer'!G8))</f>
        <v>7</v>
      </c>
      <c r="I10" s="34">
        <f>IF(SUM($C8:I8)&lt;Drivers!$D$17,'Alternative Answer'!I8,Drivers!$D$17-SUM('Alternative Answer'!$C8:'Alternative Answer'!H8))</f>
        <v>6</v>
      </c>
      <c r="J10" s="34">
        <f>IF(SUM($C8:J8)&lt;Drivers!$D$17,'Alternative Answer'!J8,Drivers!$D$17-SUM('Alternative Answer'!$C8:'Alternative Answer'!I8))</f>
        <v>5</v>
      </c>
      <c r="K10" s="25">
        <f>IF(SUM($C8:K8)&lt;Drivers!$D$17,'Alternative Answer'!K8,Drivers!$D$17-SUM('Alternative Answer'!$C8:'Alternative Answer'!J8))</f>
        <v>0</v>
      </c>
    </row>
    <row r="11" spans="2:11" hidden="1" x14ac:dyDescent="0.3">
      <c r="B11" s="34" t="s">
        <v>31</v>
      </c>
      <c r="C11" s="34">
        <f>Drivers!$C$17-'Alternative Answer'!C9-Drivers!$C$26</f>
        <v>98</v>
      </c>
      <c r="D11" s="34">
        <f t="shared" ref="D11:K12" si="0">C11-D9</f>
        <v>84</v>
      </c>
      <c r="E11" s="34">
        <f t="shared" si="0"/>
        <v>72</v>
      </c>
      <c r="F11" s="34">
        <f t="shared" si="0"/>
        <v>61</v>
      </c>
      <c r="G11" s="34">
        <f t="shared" si="0"/>
        <v>49</v>
      </c>
      <c r="H11" s="34">
        <f t="shared" si="0"/>
        <v>39</v>
      </c>
      <c r="I11" s="34">
        <f t="shared" si="0"/>
        <v>30</v>
      </c>
      <c r="J11" s="34">
        <f t="shared" si="0"/>
        <v>22</v>
      </c>
      <c r="K11" s="25">
        <f t="shared" si="0"/>
        <v>15</v>
      </c>
    </row>
    <row r="12" spans="2:11" hidden="1" x14ac:dyDescent="0.3">
      <c r="B12" s="34" t="s">
        <v>32</v>
      </c>
      <c r="C12" s="34">
        <f>Drivers!$D$17-'Alternative Answer'!C10</f>
        <v>34</v>
      </c>
      <c r="D12" s="34">
        <f t="shared" si="0"/>
        <v>31</v>
      </c>
      <c r="E12" s="34">
        <f t="shared" si="0"/>
        <v>28</v>
      </c>
      <c r="F12" s="34">
        <f t="shared" si="0"/>
        <v>26</v>
      </c>
      <c r="G12" s="34">
        <f t="shared" si="0"/>
        <v>18</v>
      </c>
      <c r="H12" s="34">
        <f t="shared" si="0"/>
        <v>11</v>
      </c>
      <c r="I12" s="34">
        <f t="shared" si="0"/>
        <v>5</v>
      </c>
      <c r="J12" s="34">
        <f t="shared" si="0"/>
        <v>0</v>
      </c>
      <c r="K12" s="25">
        <f t="shared" si="0"/>
        <v>0</v>
      </c>
    </row>
    <row r="13" spans="2:11" x14ac:dyDescent="0.3">
      <c r="B13" s="34"/>
      <c r="C13" s="50"/>
      <c r="D13" s="55"/>
      <c r="E13" s="50"/>
      <c r="F13" s="55"/>
      <c r="G13" s="50"/>
      <c r="H13" s="55"/>
      <c r="I13" s="50"/>
      <c r="J13" s="55"/>
      <c r="K13" s="38"/>
    </row>
    <row r="14" spans="2:11" x14ac:dyDescent="0.3">
      <c r="B14" s="39" t="s">
        <v>26</v>
      </c>
      <c r="C14" s="50"/>
      <c r="D14" s="55"/>
      <c r="E14" s="50"/>
      <c r="F14" s="55"/>
      <c r="G14" s="50"/>
      <c r="H14" s="55"/>
      <c r="I14" s="50"/>
      <c r="J14" s="55"/>
      <c r="K14" s="38"/>
    </row>
    <row r="15" spans="2:11" x14ac:dyDescent="0.3">
      <c r="B15" s="34" t="s">
        <v>35</v>
      </c>
      <c r="C15" s="51">
        <f>IF(Drivers!$C$34=1,(C9*Drivers!$C$14)+(C10*Drivers!$D$14),(C9*Drivers!$C$16)+(C10*Drivers!$D$16))</f>
        <v>820</v>
      </c>
      <c r="D15" s="56">
        <f>IF(Drivers!$C$34=1,(D9*Drivers!$C$14)+(D10*Drivers!$D$14),(D9*Drivers!$C$16)+(D10*Drivers!$D$16))</f>
        <v>685</v>
      </c>
      <c r="E15" s="51">
        <f>IF(Drivers!$C$34=1,(E9*Drivers!$C$14)+(E10*Drivers!$D$14),(E9*Drivers!$C$16)+(E10*Drivers!$D$16))</f>
        <v>615</v>
      </c>
      <c r="F15" s="56">
        <f>IF(Drivers!$C$34=1,(F9*Drivers!$C$14)+(F10*Drivers!$D$14),(F9*Drivers!$C$16)+(F10*Drivers!$D$16))</f>
        <v>515</v>
      </c>
      <c r="G15" s="51">
        <f>IF(Drivers!$C$34=1,(G9*Drivers!$C$14)+(G10*Drivers!$D$14),(G9*Drivers!$C$16)+(G10*Drivers!$D$16))</f>
        <v>940</v>
      </c>
      <c r="H15" s="56">
        <f>IF(Drivers!$C$34=1,(H9*Drivers!$C$14)+(H10*Drivers!$D$14),(H9*Drivers!$C$16)+(H10*Drivers!$D$16))</f>
        <v>805</v>
      </c>
      <c r="I15" s="51">
        <f>IF(Drivers!$C$34=1,(I9*Drivers!$C$14)+(I10*Drivers!$D$14),(I9*Drivers!$C$16)+(I10*Drivers!$D$16))</f>
        <v>705</v>
      </c>
      <c r="J15" s="56">
        <f>IF(Drivers!$C$34=1,(J9*Drivers!$C$14)+(J10*Drivers!$D$14),(J9*Drivers!$C$16)+(J10*Drivers!$D$16))</f>
        <v>605</v>
      </c>
      <c r="K15" s="40">
        <f>IF(Drivers!$C$34=1,(K9*Drivers!$C$14)+(K10*Drivers!$D$14),(K9*Drivers!$C$16)+(K10*Drivers!$D$16))</f>
        <v>245</v>
      </c>
    </row>
    <row r="16" spans="2:11" x14ac:dyDescent="0.3">
      <c r="B16" s="34" t="s">
        <v>30</v>
      </c>
      <c r="C16" s="52"/>
      <c r="D16" s="57"/>
      <c r="E16" s="52"/>
      <c r="F16" s="57"/>
      <c r="G16" s="52"/>
      <c r="H16" s="57"/>
      <c r="I16" s="52"/>
      <c r="J16" s="57"/>
      <c r="K16" s="43">
        <f>IF(Drivers!$C$34=1,(K11*Drivers!$C$14*Drivers!$C$12)+(K12*Drivers!$D$14*Drivers!$D$12),(K11*Drivers!$C$16*Drivers!$C$12)+(K12*Drivers!$D$16*Drivers!$D$12))</f>
        <v>262.5</v>
      </c>
    </row>
    <row r="17" spans="2:11" x14ac:dyDescent="0.3">
      <c r="B17" s="44" t="s">
        <v>36</v>
      </c>
      <c r="C17" s="53">
        <f t="shared" ref="C17:K17" si="1">SUM(C15:C16)</f>
        <v>820</v>
      </c>
      <c r="D17" s="58">
        <f t="shared" si="1"/>
        <v>685</v>
      </c>
      <c r="E17" s="53">
        <f t="shared" si="1"/>
        <v>615</v>
      </c>
      <c r="F17" s="58">
        <f t="shared" si="1"/>
        <v>515</v>
      </c>
      <c r="G17" s="53">
        <f t="shared" si="1"/>
        <v>940</v>
      </c>
      <c r="H17" s="58">
        <f t="shared" si="1"/>
        <v>805</v>
      </c>
      <c r="I17" s="53">
        <f t="shared" si="1"/>
        <v>705</v>
      </c>
      <c r="J17" s="58">
        <f t="shared" si="1"/>
        <v>605</v>
      </c>
      <c r="K17" s="45">
        <f t="shared" si="1"/>
        <v>507.5</v>
      </c>
    </row>
    <row r="18" spans="2:11" x14ac:dyDescent="0.3">
      <c r="B18" s="34"/>
      <c r="C18" s="50"/>
      <c r="D18" s="55"/>
      <c r="E18" s="50"/>
      <c r="F18" s="55"/>
      <c r="G18" s="50"/>
      <c r="H18" s="55"/>
      <c r="I18" s="50"/>
      <c r="J18" s="55"/>
      <c r="K18" s="38"/>
    </row>
    <row r="19" spans="2:11" x14ac:dyDescent="0.3">
      <c r="B19" s="46" t="s">
        <v>27</v>
      </c>
      <c r="C19" s="50"/>
      <c r="D19" s="55"/>
      <c r="E19" s="50"/>
      <c r="F19" s="55"/>
      <c r="G19" s="50"/>
      <c r="H19" s="55"/>
      <c r="I19" s="50"/>
      <c r="J19" s="55"/>
      <c r="K19" s="38"/>
    </row>
    <row r="20" spans="2:11" x14ac:dyDescent="0.3">
      <c r="B20" s="47" t="s">
        <v>44</v>
      </c>
      <c r="C20" s="51">
        <f>(Drivers!C17+Drivers!D17)*Drivers!C21</f>
        <v>790</v>
      </c>
      <c r="D20" s="56"/>
      <c r="E20" s="51"/>
      <c r="F20" s="56"/>
      <c r="G20" s="51"/>
      <c r="H20" s="56"/>
      <c r="I20" s="51"/>
      <c r="J20" s="56"/>
      <c r="K20" s="40"/>
    </row>
    <row r="21" spans="2:11" x14ac:dyDescent="0.3">
      <c r="B21" s="34" t="s">
        <v>37</v>
      </c>
      <c r="C21" s="52">
        <f>IF(Drivers!$C$34=1,((Drivers!C17*Drivers!C13)+(Drivers!D17*Drivers!D13))*(1-Drivers!C5),((Drivers!C17*Drivers!C15)+(Drivers!D17*Drivers!D15))*(1-Drivers!D5))</f>
        <v>4165</v>
      </c>
      <c r="D21" s="57"/>
      <c r="E21" s="52"/>
      <c r="F21" s="57"/>
      <c r="G21" s="52"/>
      <c r="H21" s="57"/>
      <c r="I21" s="52"/>
      <c r="J21" s="57"/>
      <c r="K21" s="43"/>
    </row>
    <row r="22" spans="2:11" x14ac:dyDescent="0.3">
      <c r="B22" s="44" t="s">
        <v>38</v>
      </c>
      <c r="C22" s="53">
        <f t="shared" ref="C22:K22" si="2">SUM(C20:C21)</f>
        <v>4955</v>
      </c>
      <c r="D22" s="58">
        <f t="shared" si="2"/>
        <v>0</v>
      </c>
      <c r="E22" s="53">
        <f t="shared" si="2"/>
        <v>0</v>
      </c>
      <c r="F22" s="58">
        <f t="shared" si="2"/>
        <v>0</v>
      </c>
      <c r="G22" s="53">
        <f t="shared" si="2"/>
        <v>0</v>
      </c>
      <c r="H22" s="58">
        <f t="shared" si="2"/>
        <v>0</v>
      </c>
      <c r="I22" s="53">
        <f t="shared" si="2"/>
        <v>0</v>
      </c>
      <c r="J22" s="58">
        <f t="shared" si="2"/>
        <v>0</v>
      </c>
      <c r="K22" s="45">
        <f t="shared" si="2"/>
        <v>0</v>
      </c>
    </row>
    <row r="23" spans="2:11" x14ac:dyDescent="0.3">
      <c r="B23" s="34"/>
      <c r="C23" s="50"/>
      <c r="D23" s="55"/>
      <c r="E23" s="50"/>
      <c r="F23" s="55"/>
      <c r="G23" s="50"/>
      <c r="H23" s="55"/>
      <c r="I23" s="50"/>
      <c r="J23" s="55"/>
      <c r="K23" s="38"/>
    </row>
    <row r="24" spans="2:11" x14ac:dyDescent="0.3">
      <c r="B24" s="48" t="s">
        <v>53</v>
      </c>
      <c r="C24" s="54">
        <f t="shared" ref="C24:K24" si="3">C17-C22</f>
        <v>-4135</v>
      </c>
      <c r="D24" s="59">
        <f t="shared" si="3"/>
        <v>685</v>
      </c>
      <c r="E24" s="54">
        <f t="shared" si="3"/>
        <v>615</v>
      </c>
      <c r="F24" s="59">
        <f t="shared" si="3"/>
        <v>515</v>
      </c>
      <c r="G24" s="54">
        <f t="shared" si="3"/>
        <v>940</v>
      </c>
      <c r="H24" s="59">
        <f t="shared" si="3"/>
        <v>805</v>
      </c>
      <c r="I24" s="54">
        <f t="shared" si="3"/>
        <v>705</v>
      </c>
      <c r="J24" s="59">
        <f t="shared" si="3"/>
        <v>605</v>
      </c>
      <c r="K24" s="49">
        <f t="shared" si="3"/>
        <v>507.5</v>
      </c>
    </row>
    <row r="25" spans="2:11" ht="15" thickBot="1" x14ac:dyDescent="0.35">
      <c r="G25" s="28"/>
      <c r="H25" s="28"/>
    </row>
    <row r="26" spans="2:11" ht="15" thickBot="1" x14ac:dyDescent="0.35">
      <c r="D26" s="29" t="s">
        <v>41</v>
      </c>
      <c r="E26" s="67">
        <f>NPV(Drivers!C23,'Alternative Answer'!D24:K24)+'Alternative Answer'!C24</f>
        <v>1106.4251189276747</v>
      </c>
      <c r="G26" s="29" t="s">
        <v>42</v>
      </c>
      <c r="H26" s="68">
        <f>IRR(C24:K24)</f>
        <v>6.3381255768966804E-2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Drop Down 1">
              <controlPr defaultSize="0" autoLine="0" autoPict="0">
                <anchor moveWithCells="1">
                  <from>
                    <xdr:col>1</xdr:col>
                    <xdr:colOff>30480</xdr:colOff>
                    <xdr:row>0</xdr:row>
                    <xdr:rowOff>182880</xdr:rowOff>
                  </from>
                  <to>
                    <xdr:col>2</xdr:col>
                    <xdr:colOff>15240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Drivers</vt:lpstr>
      <vt:lpstr>Basic Model</vt:lpstr>
      <vt:lpstr>Advanced Model</vt:lpstr>
      <vt:lpstr>Alternative Answer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Lukas</dc:creator>
  <cp:lastModifiedBy>Brandon Kung</cp:lastModifiedBy>
  <dcterms:created xsi:type="dcterms:W3CDTF">2015-06-05T18:17:20Z</dcterms:created>
  <dcterms:modified xsi:type="dcterms:W3CDTF">2020-05-04T20:29:25Z</dcterms:modified>
</cp:coreProperties>
</file>